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Usman Tariq\WORK\SMEDA\Model\New Financial Model\"/>
    </mc:Choice>
  </mc:AlternateContent>
  <workbookProtection workbookAlgorithmName="SHA-512" workbookHashValue="sEZLA9koPJb0DiMpEZ7jzAJeXrg5wFCJ6t1p7Iadxwoo+re6xeU1cQ5y7JK+tX3Ife/PMiHGyAw4Q7CDGXOhCg==" workbookSaltValue="7mhbZz/BkJ6oydTitS26PA==" workbookSpinCount="100000" lockStructure="1"/>
  <bookViews>
    <workbookView xWindow="0" yWindow="465" windowWidth="27345" windowHeight="17115" activeTab="1"/>
  </bookViews>
  <sheets>
    <sheet name="Instructions" sheetId="60" r:id="rId1"/>
    <sheet name="Input Sheet" sheetId="53" r:id="rId2"/>
    <sheet name="Financial Analysis" sheetId="59" r:id="rId3"/>
    <sheet name="Calculations" sheetId="54" state="hidden" r:id="rId4"/>
    <sheet name="Depreciation Ammortization" sheetId="55" state="hidden" r:id="rId5"/>
    <sheet name="Project Loan" sheetId="57" state="hidden" r:id="rId6"/>
    <sheet name="WC Loan" sheetId="58" state="hidden" r:id="rId7"/>
    <sheet name="Tax Sheet" sheetId="61" state="hidden" r:id="rId8"/>
  </sheets>
  <definedNames>
    <definedName name="_xlnm.Print_Area" localSheetId="2">'Financial Analysis'!$A$1:$N$195</definedName>
    <definedName name="_xlnm.Print_Area" localSheetId="1">'Input Sheet'!$A$5:$G$106</definedName>
  </definedNames>
  <calcPr calcId="152511" calcMode="manual" iterate="1"/>
</workbook>
</file>

<file path=xl/calcChain.xml><?xml version="1.0" encoding="utf-8"?>
<calcChain xmlns="http://schemas.openxmlformats.org/spreadsheetml/2006/main">
  <c r="O127" i="54" l="1"/>
  <c r="C16" i="57" l="1"/>
  <c r="O56" i="54" l="1"/>
  <c r="N56" i="54"/>
  <c r="M56" i="54"/>
  <c r="L56" i="54"/>
  <c r="K56" i="54"/>
  <c r="J56" i="54"/>
  <c r="I56" i="54"/>
  <c r="H56" i="54"/>
  <c r="G56" i="54"/>
  <c r="F56" i="54"/>
  <c r="O58" i="54"/>
  <c r="N58" i="54"/>
  <c r="M58" i="54"/>
  <c r="L58" i="54"/>
  <c r="K58" i="54"/>
  <c r="J58" i="54"/>
  <c r="I58" i="54"/>
  <c r="H58" i="54"/>
  <c r="G58" i="54"/>
  <c r="O57" i="54"/>
  <c r="N57" i="54"/>
  <c r="M57" i="54"/>
  <c r="L57" i="54"/>
  <c r="K57" i="54"/>
  <c r="J57" i="54"/>
  <c r="I57" i="54"/>
  <c r="H57" i="54"/>
  <c r="G57" i="54"/>
  <c r="F57" i="54"/>
  <c r="F59" i="54" s="1"/>
  <c r="B163" i="59"/>
  <c r="B116" i="59"/>
  <c r="B71" i="59"/>
  <c r="B50" i="59"/>
  <c r="B3" i="59"/>
  <c r="H59" i="54" l="1"/>
  <c r="L59" i="54"/>
  <c r="J59" i="54"/>
  <c r="M59" i="54"/>
  <c r="I59" i="54"/>
  <c r="G59" i="54"/>
  <c r="K59" i="54"/>
  <c r="O59" i="54"/>
  <c r="N59" i="54"/>
  <c r="E81" i="53"/>
  <c r="E71" i="53" l="1"/>
  <c r="B192" i="59" l="1"/>
  <c r="B191" i="59"/>
  <c r="C191" i="59"/>
  <c r="C180" i="59"/>
  <c r="B180" i="59"/>
  <c r="E29" i="54" l="1"/>
  <c r="E30" i="54"/>
  <c r="F94" i="54" l="1"/>
  <c r="F79" i="54"/>
  <c r="F63" i="54"/>
  <c r="H16" i="54" l="1"/>
  <c r="I16" i="54"/>
  <c r="J16" i="54"/>
  <c r="K16" i="54"/>
  <c r="L16" i="54"/>
  <c r="M16" i="54"/>
  <c r="N16" i="54"/>
  <c r="O16" i="54"/>
  <c r="G16" i="54"/>
  <c r="H14" i="54"/>
  <c r="I14" i="54"/>
  <c r="J14" i="54"/>
  <c r="K14" i="54"/>
  <c r="L14" i="54"/>
  <c r="M14" i="54"/>
  <c r="N14" i="54"/>
  <c r="O14" i="54"/>
  <c r="G14" i="54"/>
  <c r="H12" i="54"/>
  <c r="I12" i="54"/>
  <c r="J12" i="54"/>
  <c r="K12" i="54"/>
  <c r="L12" i="54"/>
  <c r="M12" i="54"/>
  <c r="N12" i="54"/>
  <c r="O12" i="54"/>
  <c r="G12" i="54"/>
  <c r="H10" i="54"/>
  <c r="I10" i="54"/>
  <c r="J10" i="54"/>
  <c r="K10" i="54"/>
  <c r="L10" i="54"/>
  <c r="M10" i="54"/>
  <c r="N10" i="54"/>
  <c r="O10" i="54"/>
  <c r="G10" i="54"/>
  <c r="H8" i="54"/>
  <c r="I8" i="54"/>
  <c r="J8" i="54"/>
  <c r="K8" i="54"/>
  <c r="L8" i="54"/>
  <c r="M8" i="54"/>
  <c r="N8" i="54"/>
  <c r="O8" i="54"/>
  <c r="G8" i="54"/>
  <c r="O125" i="54" l="1"/>
  <c r="F88" i="54"/>
  <c r="F87" i="54"/>
  <c r="F86" i="54"/>
  <c r="E57" i="53" l="1"/>
  <c r="D41" i="59" l="1"/>
  <c r="I51" i="55" l="1"/>
  <c r="J51" i="55"/>
  <c r="K51" i="55"/>
  <c r="L51" i="55"/>
  <c r="M51" i="55"/>
  <c r="F93" i="54" l="1"/>
  <c r="F92" i="54"/>
  <c r="F91" i="54"/>
  <c r="F90" i="54"/>
  <c r="F89" i="54"/>
  <c r="C10" i="58" l="1"/>
  <c r="C10" i="57"/>
  <c r="F37" i="54"/>
  <c r="G37" i="54"/>
  <c r="H37" i="54"/>
  <c r="I37" i="54"/>
  <c r="J37" i="54"/>
  <c r="K37" i="54"/>
  <c r="L37" i="54"/>
  <c r="M37" i="54"/>
  <c r="N37" i="54"/>
  <c r="O37" i="54"/>
  <c r="E125" i="54"/>
  <c r="C15" i="58" l="1"/>
  <c r="E83" i="53"/>
  <c r="E82" i="53"/>
  <c r="E80" i="53"/>
  <c r="E79" i="53"/>
  <c r="E78" i="53"/>
  <c r="E77" i="53"/>
  <c r="E76" i="53"/>
  <c r="E61" i="53"/>
  <c r="E62" i="53"/>
  <c r="E63" i="53"/>
  <c r="E64" i="53"/>
  <c r="E65" i="53"/>
  <c r="E66" i="53"/>
  <c r="E67" i="53"/>
  <c r="M62" i="59"/>
  <c r="C15" i="57" l="1"/>
  <c r="C179" i="59" l="1"/>
  <c r="C178" i="59"/>
  <c r="C168" i="59"/>
  <c r="C169" i="59"/>
  <c r="C170" i="59"/>
  <c r="C174" i="59"/>
  <c r="C167" i="59"/>
  <c r="C157" i="59"/>
  <c r="C146" i="59"/>
  <c r="C122" i="59"/>
  <c r="C123" i="59"/>
  <c r="E60" i="53" l="1"/>
  <c r="E59" i="53"/>
  <c r="E74" i="53"/>
  <c r="C9" i="58"/>
  <c r="C16" i="58"/>
  <c r="C17" i="58" s="1"/>
  <c r="D24" i="58" l="1"/>
  <c r="D28" i="58"/>
  <c r="D32" i="58"/>
  <c r="D36" i="58"/>
  <c r="D40" i="58"/>
  <c r="D44" i="58"/>
  <c r="D48" i="58"/>
  <c r="D52" i="58"/>
  <c r="D56" i="58"/>
  <c r="D60" i="58"/>
  <c r="D64" i="58"/>
  <c r="D68" i="58"/>
  <c r="D72" i="58"/>
  <c r="D76" i="58"/>
  <c r="D80" i="58"/>
  <c r="D84" i="58"/>
  <c r="D88" i="58"/>
  <c r="D92" i="58"/>
  <c r="D96" i="58"/>
  <c r="D100" i="58"/>
  <c r="D104" i="58"/>
  <c r="D108" i="58"/>
  <c r="D112" i="58"/>
  <c r="D116" i="58"/>
  <c r="D120" i="58"/>
  <c r="D124" i="58"/>
  <c r="D128" i="58"/>
  <c r="D132" i="58"/>
  <c r="D136" i="58"/>
  <c r="D140" i="58"/>
  <c r="D26" i="58"/>
  <c r="D30" i="58"/>
  <c r="D34" i="58"/>
  <c r="D38" i="58"/>
  <c r="D42" i="58"/>
  <c r="D46" i="58"/>
  <c r="D50" i="58"/>
  <c r="D54" i="58"/>
  <c r="D58" i="58"/>
  <c r="D62" i="58"/>
  <c r="D66" i="58"/>
  <c r="D70" i="58"/>
  <c r="D74" i="58"/>
  <c r="D78" i="58"/>
  <c r="D82" i="58"/>
  <c r="D86" i="58"/>
  <c r="D90" i="58"/>
  <c r="D94" i="58"/>
  <c r="D98" i="58"/>
  <c r="D102" i="58"/>
  <c r="D106" i="58"/>
  <c r="D110" i="58"/>
  <c r="D114" i="58"/>
  <c r="D118" i="58"/>
  <c r="D122" i="58"/>
  <c r="D126" i="58"/>
  <c r="D130" i="58"/>
  <c r="D134" i="58"/>
  <c r="D138" i="58"/>
  <c r="D142" i="58"/>
  <c r="D31" i="58"/>
  <c r="D39" i="58"/>
  <c r="D47" i="58"/>
  <c r="D55" i="58"/>
  <c r="D63" i="58"/>
  <c r="D71" i="58"/>
  <c r="D79" i="58"/>
  <c r="D87" i="58"/>
  <c r="D95" i="58"/>
  <c r="D103" i="58"/>
  <c r="D111" i="58"/>
  <c r="D119" i="58"/>
  <c r="D127" i="58"/>
  <c r="D135" i="58"/>
  <c r="D69" i="58"/>
  <c r="D85" i="58"/>
  <c r="D101" i="58"/>
  <c r="D117" i="58"/>
  <c r="D133" i="58"/>
  <c r="D141" i="58"/>
  <c r="D25" i="58"/>
  <c r="D33" i="58"/>
  <c r="D41" i="58"/>
  <c r="D49" i="58"/>
  <c r="D57" i="58"/>
  <c r="D65" i="58"/>
  <c r="D73" i="58"/>
  <c r="D81" i="58"/>
  <c r="D89" i="58"/>
  <c r="D97" i="58"/>
  <c r="D105" i="58"/>
  <c r="D113" i="58"/>
  <c r="D121" i="58"/>
  <c r="D129" i="58"/>
  <c r="D137" i="58"/>
  <c r="D27" i="58"/>
  <c r="D35" i="58"/>
  <c r="D43" i="58"/>
  <c r="D51" i="58"/>
  <c r="D59" i="58"/>
  <c r="D67" i="58"/>
  <c r="D75" i="58"/>
  <c r="D83" i="58"/>
  <c r="D91" i="58"/>
  <c r="D99" i="58"/>
  <c r="D107" i="58"/>
  <c r="D115" i="58"/>
  <c r="D123" i="58"/>
  <c r="D131" i="58"/>
  <c r="D139" i="58"/>
  <c r="D29" i="58"/>
  <c r="D37" i="58"/>
  <c r="D45" i="58"/>
  <c r="D53" i="58"/>
  <c r="D61" i="58"/>
  <c r="D77" i="58"/>
  <c r="D93" i="58"/>
  <c r="D109" i="58"/>
  <c r="D125" i="58"/>
  <c r="C9" i="57"/>
  <c r="C17" i="57" l="1"/>
  <c r="D28" i="57" l="1"/>
  <c r="D32" i="57"/>
  <c r="D36" i="57"/>
  <c r="D40" i="57"/>
  <c r="D44" i="57"/>
  <c r="D48" i="57"/>
  <c r="D52" i="57"/>
  <c r="D56" i="57"/>
  <c r="D60" i="57"/>
  <c r="D64" i="57"/>
  <c r="D68" i="57"/>
  <c r="D72" i="57"/>
  <c r="D76" i="57"/>
  <c r="D80" i="57"/>
  <c r="D84" i="57"/>
  <c r="D88" i="57"/>
  <c r="D92" i="57"/>
  <c r="D96" i="57"/>
  <c r="D100" i="57"/>
  <c r="D104" i="57"/>
  <c r="D108" i="57"/>
  <c r="D112" i="57"/>
  <c r="D116" i="57"/>
  <c r="D120" i="57"/>
  <c r="D124" i="57"/>
  <c r="D128" i="57"/>
  <c r="D132" i="57"/>
  <c r="D136" i="57"/>
  <c r="D140" i="57"/>
  <c r="D29" i="57"/>
  <c r="D33" i="57"/>
  <c r="D37" i="57"/>
  <c r="D41" i="57"/>
  <c r="D45" i="57"/>
  <c r="D49" i="57"/>
  <c r="D53" i="57"/>
  <c r="D57" i="57"/>
  <c r="D61" i="57"/>
  <c r="D65" i="57"/>
  <c r="D69" i="57"/>
  <c r="D73" i="57"/>
  <c r="D77" i="57"/>
  <c r="D81" i="57"/>
  <c r="D85" i="57"/>
  <c r="D89" i="57"/>
  <c r="D93" i="57"/>
  <c r="D97" i="57"/>
  <c r="D101" i="57"/>
  <c r="D105" i="57"/>
  <c r="D109" i="57"/>
  <c r="D26" i="57"/>
  <c r="D30" i="57"/>
  <c r="D34" i="57"/>
  <c r="D38" i="57"/>
  <c r="D42" i="57"/>
  <c r="D46" i="57"/>
  <c r="D50" i="57"/>
  <c r="D54" i="57"/>
  <c r="D58" i="57"/>
  <c r="D62" i="57"/>
  <c r="D66" i="57"/>
  <c r="D70" i="57"/>
  <c r="D74" i="57"/>
  <c r="D78" i="57"/>
  <c r="D82" i="57"/>
  <c r="D86" i="57"/>
  <c r="D90" i="57"/>
  <c r="D94" i="57"/>
  <c r="D98" i="57"/>
  <c r="D102" i="57"/>
  <c r="D106" i="57"/>
  <c r="D110" i="57"/>
  <c r="D114" i="57"/>
  <c r="D118" i="57"/>
  <c r="D122" i="57"/>
  <c r="D126" i="57"/>
  <c r="D130" i="57"/>
  <c r="D134" i="57"/>
  <c r="D138" i="57"/>
  <c r="D142" i="57"/>
  <c r="D27" i="57"/>
  <c r="D31" i="57"/>
  <c r="D35" i="57"/>
  <c r="D39" i="57"/>
  <c r="D43" i="57"/>
  <c r="D47" i="57"/>
  <c r="D51" i="57"/>
  <c r="D55" i="57"/>
  <c r="D59" i="57"/>
  <c r="D63" i="57"/>
  <c r="D67" i="57"/>
  <c r="D71" i="57"/>
  <c r="D75" i="57"/>
  <c r="D79" i="57"/>
  <c r="D83" i="57"/>
  <c r="D87" i="57"/>
  <c r="D91" i="57"/>
  <c r="D95" i="57"/>
  <c r="D99" i="57"/>
  <c r="D103" i="57"/>
  <c r="D107" i="57"/>
  <c r="D111" i="57"/>
  <c r="D115" i="57"/>
  <c r="D119" i="57"/>
  <c r="D123" i="57"/>
  <c r="D113" i="57"/>
  <c r="D127" i="57"/>
  <c r="D135" i="57"/>
  <c r="D117" i="57"/>
  <c r="D129" i="57"/>
  <c r="D137" i="57"/>
  <c r="D121" i="57"/>
  <c r="D131" i="57"/>
  <c r="D139" i="57"/>
  <c r="D125" i="57"/>
  <c r="D133" i="57"/>
  <c r="D141" i="57"/>
  <c r="D90" i="59"/>
  <c r="D89" i="59"/>
  <c r="D88" i="59"/>
  <c r="M126" i="59" l="1"/>
  <c r="E25" i="53"/>
  <c r="E127" i="54" l="1"/>
  <c r="C126" i="59" s="1"/>
  <c r="F85" i="54"/>
  <c r="D87" i="59" s="1"/>
  <c r="E41" i="54"/>
  <c r="D19" i="59" s="1"/>
  <c r="D96" i="59" l="1"/>
  <c r="D95" i="59"/>
  <c r="D93" i="59"/>
  <c r="D92" i="59" l="1"/>
  <c r="D91" i="59"/>
  <c r="E16" i="53"/>
  <c r="E75" i="53"/>
  <c r="E73" i="53"/>
  <c r="E72" i="53"/>
  <c r="E58" i="53"/>
  <c r="E68" i="53" s="1"/>
  <c r="E36" i="54"/>
  <c r="C49" i="55" s="1"/>
  <c r="E35" i="54"/>
  <c r="C44" i="55" s="1"/>
  <c r="E34" i="54"/>
  <c r="C36" i="55" s="1"/>
  <c r="E33" i="54"/>
  <c r="C31" i="55" s="1"/>
  <c r="O31" i="55" s="1"/>
  <c r="E32" i="54"/>
  <c r="C26" i="55" s="1"/>
  <c r="E31" i="54"/>
  <c r="C21" i="55" s="1"/>
  <c r="C16" i="55"/>
  <c r="C11" i="55"/>
  <c r="O11" i="55" s="1"/>
  <c r="F78" i="54" l="1"/>
  <c r="D42" i="55"/>
  <c r="E43" i="55" s="1"/>
  <c r="E140" i="54"/>
  <c r="D47" i="55"/>
  <c r="E48" i="55" s="1"/>
  <c r="E141" i="54"/>
  <c r="D29" i="55"/>
  <c r="E135" i="54"/>
  <c r="E134" i="54"/>
  <c r="D24" i="55"/>
  <c r="O26" i="55"/>
  <c r="E132" i="54"/>
  <c r="O16" i="55"/>
  <c r="D14" i="55"/>
  <c r="D34" i="55"/>
  <c r="O36" i="55"/>
  <c r="E136" i="54"/>
  <c r="D9" i="55"/>
  <c r="D10" i="55" s="1"/>
  <c r="E131" i="54"/>
  <c r="C130" i="59" s="1"/>
  <c r="D19" i="55"/>
  <c r="E133" i="54"/>
  <c r="C132" i="59" s="1"/>
  <c r="O21" i="55"/>
  <c r="E37" i="54"/>
  <c r="E84" i="53"/>
  <c r="D12" i="59"/>
  <c r="D10" i="59"/>
  <c r="D8" i="59"/>
  <c r="D9" i="59"/>
  <c r="D13" i="59"/>
  <c r="D6" i="59"/>
  <c r="D7" i="59"/>
  <c r="D11" i="59"/>
  <c r="F60" i="54"/>
  <c r="D40" i="59" s="1"/>
  <c r="D46" i="54"/>
  <c r="E46" i="54" l="1"/>
  <c r="F84" i="54"/>
  <c r="E19" i="54" s="1"/>
  <c r="H48" i="55"/>
  <c r="D80" i="59"/>
  <c r="G43" i="55"/>
  <c r="H43" i="55"/>
  <c r="G48" i="55"/>
  <c r="C139" i="59"/>
  <c r="C140" i="59"/>
  <c r="D43" i="55"/>
  <c r="F43" i="55"/>
  <c r="F48" i="55"/>
  <c r="D48" i="55"/>
  <c r="D49" i="55" s="1"/>
  <c r="E51" i="55"/>
  <c r="O38" i="55"/>
  <c r="D35" i="55"/>
  <c r="D36" i="55" s="1"/>
  <c r="D11" i="55"/>
  <c r="D15" i="55"/>
  <c r="D16" i="55" s="1"/>
  <c r="D20" i="55"/>
  <c r="D21" i="55" s="1"/>
  <c r="E19" i="55" s="1"/>
  <c r="E20" i="55" s="1"/>
  <c r="D25" i="55"/>
  <c r="D30" i="55"/>
  <c r="D31" i="55" s="1"/>
  <c r="C135" i="59"/>
  <c r="C131" i="59"/>
  <c r="C133" i="59"/>
  <c r="C134" i="59"/>
  <c r="D14" i="59"/>
  <c r="G17" i="54"/>
  <c r="F127" i="54" s="1"/>
  <c r="G13" i="54"/>
  <c r="G9" i="54"/>
  <c r="E174" i="54"/>
  <c r="C173" i="59" s="1"/>
  <c r="O43" i="54"/>
  <c r="N43" i="54"/>
  <c r="M43" i="54"/>
  <c r="K43" i="54"/>
  <c r="J43" i="54"/>
  <c r="I43" i="54"/>
  <c r="G43" i="54"/>
  <c r="F43" i="54"/>
  <c r="O188" i="54"/>
  <c r="D86" i="59" l="1"/>
  <c r="G63" i="54"/>
  <c r="G94" i="54"/>
  <c r="E96" i="59" s="1"/>
  <c r="G90" i="54"/>
  <c r="E92" i="59" s="1"/>
  <c r="G86" i="54"/>
  <c r="G93" i="54"/>
  <c r="G89" i="54"/>
  <c r="E91" i="59" s="1"/>
  <c r="G88" i="54"/>
  <c r="G92" i="54"/>
  <c r="E94" i="59" s="1"/>
  <c r="G79" i="54"/>
  <c r="F125" i="54" s="1"/>
  <c r="G91" i="54"/>
  <c r="E93" i="59" s="1"/>
  <c r="G87" i="54"/>
  <c r="D126" i="59"/>
  <c r="G85" i="54"/>
  <c r="E87" i="59" s="1"/>
  <c r="H51" i="55"/>
  <c r="G51" i="55"/>
  <c r="C141" i="59"/>
  <c r="F51" i="55"/>
  <c r="O211" i="54"/>
  <c r="D51" i="55"/>
  <c r="D44" i="55"/>
  <c r="F140" i="54" s="1"/>
  <c r="D139" i="59" s="1"/>
  <c r="E47" i="55"/>
  <c r="E49" i="55" s="1"/>
  <c r="F141" i="54"/>
  <c r="D140" i="59" s="1"/>
  <c r="F133" i="54"/>
  <c r="D132" i="59" s="1"/>
  <c r="D26" i="55"/>
  <c r="F134" i="54" s="1"/>
  <c r="D133" i="59" s="1"/>
  <c r="D38" i="55"/>
  <c r="E9" i="55"/>
  <c r="F131" i="54"/>
  <c r="D130" i="59" s="1"/>
  <c r="E29" i="55"/>
  <c r="F135" i="54"/>
  <c r="D134" i="59" s="1"/>
  <c r="F132" i="54"/>
  <c r="D131" i="59" s="1"/>
  <c r="E14" i="55"/>
  <c r="F136" i="54"/>
  <c r="D135" i="59" s="1"/>
  <c r="E34" i="55"/>
  <c r="C136" i="59"/>
  <c r="O189" i="54"/>
  <c r="M187" i="59"/>
  <c r="M188" i="59" s="1"/>
  <c r="G15" i="54"/>
  <c r="D94" i="59"/>
  <c r="G11" i="54"/>
  <c r="H17" i="54"/>
  <c r="G127" i="54" s="1"/>
  <c r="G60" i="54"/>
  <c r="G62" i="54" s="1"/>
  <c r="E137" i="54"/>
  <c r="O60" i="54"/>
  <c r="O62" i="54" s="1"/>
  <c r="K60" i="54"/>
  <c r="K62" i="54" s="1"/>
  <c r="J60" i="54"/>
  <c r="J62" i="54" s="1"/>
  <c r="N60" i="54"/>
  <c r="N62" i="54" s="1"/>
  <c r="F62" i="54"/>
  <c r="F61" i="54" s="1"/>
  <c r="H60" i="54"/>
  <c r="H62" i="54" s="1"/>
  <c r="M60" i="54"/>
  <c r="I60" i="54"/>
  <c r="I62" i="54" s="1"/>
  <c r="K188" i="54"/>
  <c r="L60" i="54"/>
  <c r="H43" i="54"/>
  <c r="L43" i="54"/>
  <c r="H188" i="54"/>
  <c r="L188" i="54"/>
  <c r="I188" i="54"/>
  <c r="M188" i="54"/>
  <c r="H9" i="54"/>
  <c r="F188" i="54"/>
  <c r="N188" i="54"/>
  <c r="H13" i="54"/>
  <c r="G188" i="54"/>
  <c r="B182" i="54"/>
  <c r="B181" i="59" s="1"/>
  <c r="B178" i="59"/>
  <c r="B182" i="59"/>
  <c r="B179" i="59"/>
  <c r="H63" i="54" l="1"/>
  <c r="H85" i="54"/>
  <c r="F87" i="59" s="1"/>
  <c r="H93" i="54"/>
  <c r="H89" i="54"/>
  <c r="F91" i="59" s="1"/>
  <c r="H92" i="54"/>
  <c r="H88" i="54"/>
  <c r="H79" i="54"/>
  <c r="H91" i="54"/>
  <c r="F93" i="59" s="1"/>
  <c r="H94" i="54"/>
  <c r="H90" i="54"/>
  <c r="F92" i="59" s="1"/>
  <c r="H86" i="54"/>
  <c r="H87" i="54"/>
  <c r="G78" i="54"/>
  <c r="E80" i="59" s="1"/>
  <c r="G84" i="54"/>
  <c r="E86" i="59" s="1"/>
  <c r="F77" i="54"/>
  <c r="D79" i="59" s="1"/>
  <c r="F76" i="54"/>
  <c r="D78" i="59" s="1"/>
  <c r="F75" i="54"/>
  <c r="F65" i="54"/>
  <c r="F72" i="54" s="1"/>
  <c r="F123" i="54" s="1"/>
  <c r="D53" i="55"/>
  <c r="F95" i="54" s="1"/>
  <c r="D141" i="59"/>
  <c r="F47" i="55"/>
  <c r="F49" i="55" s="1"/>
  <c r="G141" i="54"/>
  <c r="E140" i="59" s="1"/>
  <c r="D136" i="59"/>
  <c r="E35" i="55"/>
  <c r="E36" i="55" s="1"/>
  <c r="E30" i="55"/>
  <c r="E31" i="55" s="1"/>
  <c r="E15" i="55"/>
  <c r="E16" i="55" s="1"/>
  <c r="E10" i="55"/>
  <c r="E11" i="55" s="1"/>
  <c r="E24" i="55"/>
  <c r="E21" i="55"/>
  <c r="F94" i="59"/>
  <c r="G125" i="54"/>
  <c r="L189" i="54"/>
  <c r="J187" i="59"/>
  <c r="J188" i="59" s="1"/>
  <c r="F189" i="54"/>
  <c r="D187" i="59"/>
  <c r="D188" i="59" s="1"/>
  <c r="H189" i="54"/>
  <c r="F187" i="59"/>
  <c r="F188" i="59" s="1"/>
  <c r="K189" i="54"/>
  <c r="I187" i="59"/>
  <c r="I188" i="59" s="1"/>
  <c r="N189" i="54"/>
  <c r="L187" i="59"/>
  <c r="L188" i="59" s="1"/>
  <c r="M189" i="54"/>
  <c r="K187" i="59"/>
  <c r="K188" i="59" s="1"/>
  <c r="G189" i="54"/>
  <c r="E187" i="59"/>
  <c r="E188" i="59" s="1"/>
  <c r="I189" i="54"/>
  <c r="G187" i="59"/>
  <c r="G188" i="59" s="1"/>
  <c r="D43" i="59"/>
  <c r="D44" i="59" s="1"/>
  <c r="D45" i="59" s="1"/>
  <c r="F174" i="54"/>
  <c r="D173" i="59" s="1"/>
  <c r="F96" i="59"/>
  <c r="H11" i="54"/>
  <c r="I17" i="54"/>
  <c r="H127" i="54" s="1"/>
  <c r="H15" i="54"/>
  <c r="E95" i="59"/>
  <c r="M62" i="54"/>
  <c r="N61" i="54" s="1"/>
  <c r="L62" i="54"/>
  <c r="L61" i="54" s="1"/>
  <c r="G61" i="54"/>
  <c r="H61" i="54"/>
  <c r="O61" i="54"/>
  <c r="K61" i="54"/>
  <c r="J61" i="54"/>
  <c r="I9" i="54"/>
  <c r="J188" i="54"/>
  <c r="I13" i="54"/>
  <c r="D47" i="54"/>
  <c r="I63" i="54" l="1"/>
  <c r="I92" i="54"/>
  <c r="I88" i="54"/>
  <c r="I79" i="54"/>
  <c r="H125" i="54" s="1"/>
  <c r="I91" i="54"/>
  <c r="I87" i="54"/>
  <c r="I94" i="54"/>
  <c r="G96" i="59" s="1"/>
  <c r="I90" i="54"/>
  <c r="G92" i="59" s="1"/>
  <c r="I86" i="54"/>
  <c r="I93" i="54"/>
  <c r="I89" i="54"/>
  <c r="G91" i="59" s="1"/>
  <c r="H78" i="54"/>
  <c r="F80" i="59" s="1"/>
  <c r="H84" i="54"/>
  <c r="F86" i="59" s="1"/>
  <c r="I85" i="54"/>
  <c r="G87" i="59" s="1"/>
  <c r="G65" i="54"/>
  <c r="G72" i="54" s="1"/>
  <c r="G123" i="54" s="1"/>
  <c r="G76" i="54"/>
  <c r="E78" i="59" s="1"/>
  <c r="G75" i="54"/>
  <c r="G77" i="54"/>
  <c r="E79" i="59" s="1"/>
  <c r="H76" i="54"/>
  <c r="F78" i="59" s="1"/>
  <c r="H77" i="54"/>
  <c r="F79" i="59" s="1"/>
  <c r="H75" i="54"/>
  <c r="E126" i="54"/>
  <c r="D77" i="59"/>
  <c r="H65" i="54"/>
  <c r="H72" i="54" s="1"/>
  <c r="F95" i="59"/>
  <c r="D97" i="59"/>
  <c r="D98" i="59" s="1"/>
  <c r="G47" i="55"/>
  <c r="G49" i="55" s="1"/>
  <c r="H141" i="54"/>
  <c r="F140" i="59" s="1"/>
  <c r="G135" i="54"/>
  <c r="E134" i="59" s="1"/>
  <c r="F29" i="55"/>
  <c r="F30" i="55" s="1"/>
  <c r="F31" i="55" s="1"/>
  <c r="E25" i="55"/>
  <c r="E38" i="55" s="1"/>
  <c r="E53" i="55" s="1"/>
  <c r="G95" i="54" s="1"/>
  <c r="E97" i="59" s="1"/>
  <c r="F14" i="55"/>
  <c r="G132" i="54"/>
  <c r="E131" i="59" s="1"/>
  <c r="F34" i="55"/>
  <c r="G136" i="54"/>
  <c r="E135" i="59" s="1"/>
  <c r="F19" i="55"/>
  <c r="G133" i="54"/>
  <c r="E132" i="59" s="1"/>
  <c r="G131" i="54"/>
  <c r="E130" i="59" s="1"/>
  <c r="F9" i="55"/>
  <c r="G93" i="59"/>
  <c r="G94" i="59"/>
  <c r="F169" i="54"/>
  <c r="D168" i="59" s="1"/>
  <c r="J189" i="54"/>
  <c r="H187" i="59"/>
  <c r="H188" i="59" s="1"/>
  <c r="I11" i="54"/>
  <c r="G174" i="54"/>
  <c r="E173" i="59" s="1"/>
  <c r="E126" i="59"/>
  <c r="C124" i="59"/>
  <c r="D81" i="59"/>
  <c r="D74" i="59"/>
  <c r="I15" i="54"/>
  <c r="J17" i="54"/>
  <c r="I127" i="54" s="1"/>
  <c r="E39" i="54"/>
  <c r="D17" i="59" s="1"/>
  <c r="E40" i="54"/>
  <c r="D18" i="59" s="1"/>
  <c r="M61" i="54"/>
  <c r="J13" i="54"/>
  <c r="J9" i="54"/>
  <c r="I61" i="54"/>
  <c r="D122" i="59"/>
  <c r="F80" i="54"/>
  <c r="F124" i="54" s="1"/>
  <c r="D123" i="59" s="1"/>
  <c r="J63" i="54" l="1"/>
  <c r="I78" i="54"/>
  <c r="G80" i="59" s="1"/>
  <c r="I84" i="54"/>
  <c r="G86" i="59" s="1"/>
  <c r="J85" i="54"/>
  <c r="H87" i="59" s="1"/>
  <c r="J91" i="54"/>
  <c r="H93" i="59" s="1"/>
  <c r="J87" i="54"/>
  <c r="J94" i="54"/>
  <c r="H96" i="59" s="1"/>
  <c r="J90" i="54"/>
  <c r="J86" i="54"/>
  <c r="J93" i="54"/>
  <c r="J89" i="54"/>
  <c r="H91" i="59" s="1"/>
  <c r="J92" i="54"/>
  <c r="H94" i="59" s="1"/>
  <c r="J88" i="54"/>
  <c r="J79" i="54"/>
  <c r="I125" i="54" s="1"/>
  <c r="I77" i="54"/>
  <c r="G79" i="59" s="1"/>
  <c r="I76" i="54"/>
  <c r="G78" i="59" s="1"/>
  <c r="I75" i="54"/>
  <c r="H123" i="54"/>
  <c r="G126" i="54"/>
  <c r="G147" i="54" s="1"/>
  <c r="F126" i="54"/>
  <c r="F147" i="54" s="1"/>
  <c r="F77" i="59"/>
  <c r="D82" i="59"/>
  <c r="D83" i="59" s="1"/>
  <c r="D99" i="59" s="1"/>
  <c r="E77" i="59"/>
  <c r="I65" i="54"/>
  <c r="I72" i="54" s="1"/>
  <c r="I123" i="54" s="1"/>
  <c r="E26" i="55"/>
  <c r="F24" i="55" s="1"/>
  <c r="H47" i="55"/>
  <c r="H49" i="55" s="1"/>
  <c r="I141" i="54"/>
  <c r="G140" i="59" s="1"/>
  <c r="G95" i="59"/>
  <c r="F10" i="55"/>
  <c r="F11" i="55" s="1"/>
  <c r="F20" i="55"/>
  <c r="F21" i="55" s="1"/>
  <c r="F15" i="55"/>
  <c r="F35" i="55"/>
  <c r="F36" i="55" s="1"/>
  <c r="H135" i="54"/>
  <c r="F134" i="59" s="1"/>
  <c r="G29" i="55"/>
  <c r="G30" i="55" s="1"/>
  <c r="G31" i="55" s="1"/>
  <c r="H92" i="59"/>
  <c r="J11" i="54"/>
  <c r="J15" i="54"/>
  <c r="H174" i="54"/>
  <c r="F173" i="59" s="1"/>
  <c r="F126" i="59"/>
  <c r="F74" i="59"/>
  <c r="E124" i="59"/>
  <c r="F81" i="59"/>
  <c r="E74" i="59"/>
  <c r="C125" i="59"/>
  <c r="D124" i="59"/>
  <c r="E81" i="59"/>
  <c r="K17" i="54"/>
  <c r="J65" i="54"/>
  <c r="F239" i="54"/>
  <c r="D63" i="59" s="1"/>
  <c r="F170" i="54"/>
  <c r="D169" i="59" s="1"/>
  <c r="E172" i="54"/>
  <c r="F171" i="54"/>
  <c r="D170" i="59" s="1"/>
  <c r="F81" i="54"/>
  <c r="E173" i="54"/>
  <c r="C172" i="59" s="1"/>
  <c r="K9" i="54"/>
  <c r="K13" i="54"/>
  <c r="K85" i="54" l="1"/>
  <c r="J127" i="54"/>
  <c r="K63" i="54"/>
  <c r="K94" i="54"/>
  <c r="K90" i="54"/>
  <c r="I92" i="59" s="1"/>
  <c r="K86" i="54"/>
  <c r="K93" i="54"/>
  <c r="K89" i="54"/>
  <c r="I91" i="59" s="1"/>
  <c r="K92" i="54"/>
  <c r="I94" i="59" s="1"/>
  <c r="K79" i="54"/>
  <c r="J125" i="54" s="1"/>
  <c r="K88" i="54"/>
  <c r="K91" i="54"/>
  <c r="I93" i="59" s="1"/>
  <c r="K87" i="54"/>
  <c r="J78" i="54"/>
  <c r="H80" i="59" s="1"/>
  <c r="J84" i="54"/>
  <c r="H86" i="59" s="1"/>
  <c r="J77" i="54"/>
  <c r="H79" i="59" s="1"/>
  <c r="J76" i="54"/>
  <c r="H78" i="59" s="1"/>
  <c r="J75" i="54"/>
  <c r="F82" i="59"/>
  <c r="F83" i="59" s="1"/>
  <c r="L17" i="54"/>
  <c r="K127" i="54" s="1"/>
  <c r="H126" i="59"/>
  <c r="H126" i="54"/>
  <c r="H147" i="54" s="1"/>
  <c r="E82" i="59"/>
  <c r="E83" i="59" s="1"/>
  <c r="E89" i="59"/>
  <c r="E90" i="59"/>
  <c r="G77" i="59"/>
  <c r="E176" i="54"/>
  <c r="G134" i="54"/>
  <c r="E133" i="59" s="1"/>
  <c r="E136" i="59" s="1"/>
  <c r="G124" i="59"/>
  <c r="C171" i="59"/>
  <c r="C175" i="59" s="1"/>
  <c r="I47" i="55"/>
  <c r="I49" i="55" s="1"/>
  <c r="J141" i="54"/>
  <c r="H140" i="59" s="1"/>
  <c r="G19" i="55"/>
  <c r="G20" i="55" s="1"/>
  <c r="G21" i="55" s="1"/>
  <c r="H133" i="54"/>
  <c r="F132" i="59" s="1"/>
  <c r="G34" i="55"/>
  <c r="G35" i="55" s="1"/>
  <c r="G36" i="55" s="1"/>
  <c r="H136" i="54"/>
  <c r="F135" i="59" s="1"/>
  <c r="G9" i="55"/>
  <c r="H131" i="54"/>
  <c r="F130" i="59" s="1"/>
  <c r="F16" i="55"/>
  <c r="F25" i="55"/>
  <c r="F26" i="55" s="1"/>
  <c r="H29" i="55"/>
  <c r="H30" i="55" s="1"/>
  <c r="H31" i="55" s="1"/>
  <c r="I135" i="54"/>
  <c r="G134" i="59" s="1"/>
  <c r="H95" i="59"/>
  <c r="K11" i="54"/>
  <c r="K15" i="54"/>
  <c r="I174" i="54"/>
  <c r="G173" i="59" s="1"/>
  <c r="G126" i="59"/>
  <c r="F172" i="54"/>
  <c r="D171" i="59" s="1"/>
  <c r="H239" i="54"/>
  <c r="F63" i="59" s="1"/>
  <c r="F122" i="59"/>
  <c r="F124" i="59"/>
  <c r="G81" i="59"/>
  <c r="G172" i="54"/>
  <c r="E171" i="59" s="1"/>
  <c r="H81" i="59"/>
  <c r="G173" i="54"/>
  <c r="E172" i="59" s="1"/>
  <c r="D125" i="59"/>
  <c r="E146" i="59"/>
  <c r="E125" i="59"/>
  <c r="G170" i="54"/>
  <c r="E169" i="59" s="1"/>
  <c r="E122" i="59"/>
  <c r="G74" i="59"/>
  <c r="E88" i="59"/>
  <c r="G238" i="54"/>
  <c r="E62" i="59" s="1"/>
  <c r="I96" i="59"/>
  <c r="I87" i="59"/>
  <c r="F173" i="54"/>
  <c r="D172" i="59" s="1"/>
  <c r="F238" i="54"/>
  <c r="D62" i="59" s="1"/>
  <c r="J72" i="54"/>
  <c r="J123" i="54" s="1"/>
  <c r="K65" i="54"/>
  <c r="G80" i="54"/>
  <c r="G124" i="54" s="1"/>
  <c r="H170" i="54"/>
  <c r="F169" i="59" s="1"/>
  <c r="G239" i="54"/>
  <c r="E63" i="59" s="1"/>
  <c r="L9" i="54"/>
  <c r="L13" i="54"/>
  <c r="G122" i="59"/>
  <c r="L63" i="54" l="1"/>
  <c r="K174" i="54"/>
  <c r="I173" i="59" s="1"/>
  <c r="L85" i="54"/>
  <c r="J87" i="59" s="1"/>
  <c r="L93" i="54"/>
  <c r="L89" i="54"/>
  <c r="J91" i="59" s="1"/>
  <c r="L92" i="54"/>
  <c r="L88" i="54"/>
  <c r="L79" i="54"/>
  <c r="K125" i="54" s="1"/>
  <c r="L91" i="54"/>
  <c r="J93" i="59" s="1"/>
  <c r="L87" i="54"/>
  <c r="L94" i="54"/>
  <c r="J96" i="59" s="1"/>
  <c r="L90" i="54"/>
  <c r="J92" i="59" s="1"/>
  <c r="L86" i="54"/>
  <c r="K77" i="54"/>
  <c r="I79" i="59" s="1"/>
  <c r="K76" i="54"/>
  <c r="I78" i="59" s="1"/>
  <c r="K75" i="54"/>
  <c r="K78" i="54"/>
  <c r="I80" i="59" s="1"/>
  <c r="K84" i="54"/>
  <c r="I86" i="59" s="1"/>
  <c r="M17" i="54"/>
  <c r="L127" i="54" s="1"/>
  <c r="F90" i="59"/>
  <c r="F89" i="59"/>
  <c r="I126" i="54"/>
  <c r="H77" i="59"/>
  <c r="I95" i="59"/>
  <c r="J47" i="55"/>
  <c r="J49" i="55" s="1"/>
  <c r="K141" i="54"/>
  <c r="I140" i="59" s="1"/>
  <c r="G24" i="55"/>
  <c r="G25" i="55" s="1"/>
  <c r="G26" i="55" s="1"/>
  <c r="H134" i="54"/>
  <c r="F133" i="59" s="1"/>
  <c r="J135" i="54"/>
  <c r="H134" i="59" s="1"/>
  <c r="I29" i="55"/>
  <c r="I30" i="55" s="1"/>
  <c r="I31" i="55" s="1"/>
  <c r="F38" i="55"/>
  <c r="F53" i="55" s="1"/>
  <c r="H95" i="54" s="1"/>
  <c r="F97" i="59" s="1"/>
  <c r="H34" i="55"/>
  <c r="I136" i="54"/>
  <c r="G135" i="59" s="1"/>
  <c r="H132" i="54"/>
  <c r="F131" i="59" s="1"/>
  <c r="G14" i="55"/>
  <c r="G10" i="55"/>
  <c r="G11" i="55" s="1"/>
  <c r="H19" i="55"/>
  <c r="H20" i="55" s="1"/>
  <c r="H21" i="55" s="1"/>
  <c r="I133" i="54"/>
  <c r="G132" i="59" s="1"/>
  <c r="J94" i="59"/>
  <c r="L11" i="54"/>
  <c r="L15" i="54"/>
  <c r="H172" i="54"/>
  <c r="F171" i="59" s="1"/>
  <c r="J174" i="54"/>
  <c r="H173" i="59" s="1"/>
  <c r="E98" i="59"/>
  <c r="E99" i="59" s="1"/>
  <c r="I172" i="54"/>
  <c r="G171" i="59" s="1"/>
  <c r="G82" i="59"/>
  <c r="G83" i="59" s="1"/>
  <c r="F175" i="54"/>
  <c r="D174" i="59" s="1"/>
  <c r="D146" i="59"/>
  <c r="G171" i="54"/>
  <c r="E170" i="59" s="1"/>
  <c r="E123" i="59"/>
  <c r="G175" i="54"/>
  <c r="E174" i="59" s="1"/>
  <c r="I81" i="59"/>
  <c r="F146" i="59"/>
  <c r="F125" i="59"/>
  <c r="H74" i="59"/>
  <c r="H80" i="54"/>
  <c r="H81" i="54" s="1"/>
  <c r="F88" i="59"/>
  <c r="K72" i="54"/>
  <c r="K123" i="54" s="1"/>
  <c r="L65" i="54"/>
  <c r="G81" i="54"/>
  <c r="H238" i="54"/>
  <c r="F62" i="59" s="1"/>
  <c r="M9" i="54"/>
  <c r="M13" i="54"/>
  <c r="I239" i="54"/>
  <c r="G63" i="59" s="1"/>
  <c r="I170" i="54"/>
  <c r="G169" i="59" s="1"/>
  <c r="H173" i="54"/>
  <c r="F172" i="59" s="1"/>
  <c r="I126" i="59" l="1"/>
  <c r="M63" i="54"/>
  <c r="M65" i="54" s="1"/>
  <c r="L78" i="54"/>
  <c r="J80" i="59" s="1"/>
  <c r="L84" i="54"/>
  <c r="J86" i="59" s="1"/>
  <c r="L77" i="54"/>
  <c r="J79" i="59" s="1"/>
  <c r="L75" i="54"/>
  <c r="L76" i="54"/>
  <c r="J78" i="59" s="1"/>
  <c r="J126" i="59"/>
  <c r="M85" i="54"/>
  <c r="K87" i="59" s="1"/>
  <c r="M92" i="54"/>
  <c r="K94" i="59" s="1"/>
  <c r="M88" i="54"/>
  <c r="M79" i="54"/>
  <c r="L125" i="54" s="1"/>
  <c r="M91" i="54"/>
  <c r="K93" i="59" s="1"/>
  <c r="M87" i="54"/>
  <c r="M86" i="54"/>
  <c r="M94" i="54"/>
  <c r="M90" i="54"/>
  <c r="K92" i="59" s="1"/>
  <c r="M93" i="54"/>
  <c r="M89" i="54"/>
  <c r="K91" i="59" s="1"/>
  <c r="G125" i="59"/>
  <c r="I147" i="54"/>
  <c r="G146" i="59" s="1"/>
  <c r="I77" i="59"/>
  <c r="N17" i="54"/>
  <c r="M127" i="54" s="1"/>
  <c r="K96" i="59"/>
  <c r="J126" i="54"/>
  <c r="I124" i="59"/>
  <c r="J95" i="59"/>
  <c r="K47" i="55"/>
  <c r="K49" i="55" s="1"/>
  <c r="L141" i="54"/>
  <c r="J140" i="59" s="1"/>
  <c r="F136" i="59"/>
  <c r="H9" i="55"/>
  <c r="I131" i="54"/>
  <c r="G130" i="59" s="1"/>
  <c r="I19" i="55"/>
  <c r="I20" i="55" s="1"/>
  <c r="I21" i="55" s="1"/>
  <c r="J133" i="54"/>
  <c r="H132" i="59" s="1"/>
  <c r="K135" i="54"/>
  <c r="I134" i="59" s="1"/>
  <c r="J29" i="55"/>
  <c r="J30" i="55" s="1"/>
  <c r="J31" i="55" s="1"/>
  <c r="H35" i="55"/>
  <c r="H36" i="55" s="1"/>
  <c r="M11" i="54"/>
  <c r="G15" i="55"/>
  <c r="G38" i="55" s="1"/>
  <c r="G53" i="55" s="1"/>
  <c r="I95" i="54" s="1"/>
  <c r="G97" i="59" s="1"/>
  <c r="H24" i="55"/>
  <c r="I134" i="54"/>
  <c r="G133" i="59" s="1"/>
  <c r="I238" i="54"/>
  <c r="G62" i="59" s="1"/>
  <c r="I173" i="54"/>
  <c r="G172" i="59" s="1"/>
  <c r="M15" i="54"/>
  <c r="H82" i="59"/>
  <c r="H83" i="59" s="1"/>
  <c r="H175" i="54"/>
  <c r="F174" i="59" s="1"/>
  <c r="F98" i="59"/>
  <c r="F99" i="59" s="1"/>
  <c r="G89" i="59"/>
  <c r="G90" i="59"/>
  <c r="I74" i="59"/>
  <c r="J81" i="59"/>
  <c r="J170" i="54"/>
  <c r="H169" i="59" s="1"/>
  <c r="H122" i="59"/>
  <c r="J172" i="54"/>
  <c r="H171" i="59" s="1"/>
  <c r="H124" i="59"/>
  <c r="J239" i="54"/>
  <c r="H63" i="59" s="1"/>
  <c r="H124" i="54"/>
  <c r="G88" i="59"/>
  <c r="L72" i="54"/>
  <c r="L123" i="54" s="1"/>
  <c r="I80" i="54"/>
  <c r="I81" i="54" s="1"/>
  <c r="J80" i="54"/>
  <c r="N13" i="54"/>
  <c r="N9" i="54"/>
  <c r="L174" i="54" l="1"/>
  <c r="J173" i="59" s="1"/>
  <c r="N63" i="54"/>
  <c r="N91" i="54"/>
  <c r="L93" i="59" s="1"/>
  <c r="N87" i="54"/>
  <c r="N94" i="54"/>
  <c r="L96" i="59" s="1"/>
  <c r="N90" i="54"/>
  <c r="L92" i="59" s="1"/>
  <c r="N86" i="54"/>
  <c r="N93" i="54"/>
  <c r="L95" i="59" s="1"/>
  <c r="N89" i="54"/>
  <c r="L91" i="59" s="1"/>
  <c r="N92" i="54"/>
  <c r="L94" i="59" s="1"/>
  <c r="N88" i="54"/>
  <c r="N79" i="54"/>
  <c r="M125" i="54" s="1"/>
  <c r="K95" i="59"/>
  <c r="M78" i="54"/>
  <c r="K80" i="59" s="1"/>
  <c r="M84" i="54"/>
  <c r="K86" i="59" s="1"/>
  <c r="M76" i="54"/>
  <c r="K78" i="59" s="1"/>
  <c r="M75" i="54"/>
  <c r="M77" i="54"/>
  <c r="K79" i="59" s="1"/>
  <c r="K126" i="59"/>
  <c r="N85" i="54"/>
  <c r="L87" i="59" s="1"/>
  <c r="H125" i="59"/>
  <c r="J147" i="54"/>
  <c r="H146" i="59" s="1"/>
  <c r="O17" i="54"/>
  <c r="N127" i="54" s="1"/>
  <c r="H90" i="59"/>
  <c r="H89" i="59"/>
  <c r="K126" i="54"/>
  <c r="J77" i="59"/>
  <c r="I175" i="54"/>
  <c r="G174" i="59" s="1"/>
  <c r="L47" i="55"/>
  <c r="L49" i="55" s="1"/>
  <c r="M141" i="54"/>
  <c r="K140" i="59" s="1"/>
  <c r="G16" i="55"/>
  <c r="H14" i="55" s="1"/>
  <c r="I34" i="55"/>
  <c r="I35" i="55" s="1"/>
  <c r="I36" i="55" s="1"/>
  <c r="J136" i="54"/>
  <c r="H135" i="59" s="1"/>
  <c r="N15" i="54"/>
  <c r="N11" i="54"/>
  <c r="K133" i="54"/>
  <c r="I132" i="59" s="1"/>
  <c r="J19" i="55"/>
  <c r="J20" i="55" s="1"/>
  <c r="J21" i="55" s="1"/>
  <c r="L135" i="54"/>
  <c r="J134" i="59" s="1"/>
  <c r="K29" i="55"/>
  <c r="K30" i="55" s="1"/>
  <c r="K31" i="55" s="1"/>
  <c r="J238" i="54"/>
  <c r="H62" i="59" s="1"/>
  <c r="J173" i="54"/>
  <c r="H172" i="59" s="1"/>
  <c r="H25" i="55"/>
  <c r="H26" i="55" s="1"/>
  <c r="H10" i="55"/>
  <c r="H11" i="55" s="1"/>
  <c r="K172" i="54"/>
  <c r="I171" i="59" s="1"/>
  <c r="I82" i="59"/>
  <c r="I83" i="59" s="1"/>
  <c r="G98" i="59"/>
  <c r="G99" i="59" s="1"/>
  <c r="K81" i="59"/>
  <c r="H171" i="54"/>
  <c r="F170" i="59" s="1"/>
  <c r="F123" i="59"/>
  <c r="J74" i="59"/>
  <c r="K170" i="54"/>
  <c r="I169" i="59" s="1"/>
  <c r="I122" i="59"/>
  <c r="H88" i="59"/>
  <c r="K239" i="54"/>
  <c r="I63" i="59" s="1"/>
  <c r="M72" i="54"/>
  <c r="M123" i="54" s="1"/>
  <c r="N65" i="54"/>
  <c r="I124" i="54"/>
  <c r="K80" i="54"/>
  <c r="J124" i="54"/>
  <c r="H123" i="59" s="1"/>
  <c r="J81" i="54"/>
  <c r="O13" i="54"/>
  <c r="O9" i="54"/>
  <c r="O63" i="54" l="1"/>
  <c r="O94" i="54"/>
  <c r="M96" i="59" s="1"/>
  <c r="O90" i="54"/>
  <c r="M92" i="59" s="1"/>
  <c r="O86" i="54"/>
  <c r="O93" i="54"/>
  <c r="M95" i="59" s="1"/>
  <c r="O89" i="54"/>
  <c r="O92" i="54"/>
  <c r="M94" i="59" s="1"/>
  <c r="O88" i="54"/>
  <c r="O91" i="54"/>
  <c r="M93" i="59" s="1"/>
  <c r="O87" i="54"/>
  <c r="O79" i="54"/>
  <c r="N125" i="54" s="1"/>
  <c r="N77" i="54"/>
  <c r="L79" i="59" s="1"/>
  <c r="N76" i="54"/>
  <c r="L78" i="59" s="1"/>
  <c r="N75" i="54"/>
  <c r="M174" i="54"/>
  <c r="K173" i="59" s="1"/>
  <c r="O15" i="54"/>
  <c r="N78" i="54"/>
  <c r="L80" i="59" s="1"/>
  <c r="N84" i="54"/>
  <c r="L86" i="59" s="1"/>
  <c r="L126" i="59"/>
  <c r="O85" i="54"/>
  <c r="M87" i="59" s="1"/>
  <c r="K173" i="54"/>
  <c r="I172" i="59" s="1"/>
  <c r="K147" i="54"/>
  <c r="I146" i="59" s="1"/>
  <c r="K77" i="59"/>
  <c r="I89" i="59"/>
  <c r="I90" i="59"/>
  <c r="L126" i="54"/>
  <c r="K124" i="59"/>
  <c r="O11" i="54"/>
  <c r="J175" i="54"/>
  <c r="H174" i="59" s="1"/>
  <c r="I132" i="54"/>
  <c r="G131" i="59" s="1"/>
  <c r="G136" i="59" s="1"/>
  <c r="M47" i="55"/>
  <c r="M49" i="55" s="1"/>
  <c r="O141" i="54" s="1"/>
  <c r="M140" i="59" s="1"/>
  <c r="N141" i="54"/>
  <c r="L140" i="59" s="1"/>
  <c r="K238" i="54"/>
  <c r="I62" i="59" s="1"/>
  <c r="I125" i="59"/>
  <c r="J134" i="54"/>
  <c r="H133" i="59" s="1"/>
  <c r="I24" i="55"/>
  <c r="I25" i="55" s="1"/>
  <c r="I26" i="55" s="1"/>
  <c r="J131" i="54"/>
  <c r="H130" i="59" s="1"/>
  <c r="I9" i="55"/>
  <c r="H15" i="55"/>
  <c r="H38" i="55" s="1"/>
  <c r="H53" i="55" s="1"/>
  <c r="J95" i="54" s="1"/>
  <c r="H97" i="59" s="1"/>
  <c r="H98" i="59" s="1"/>
  <c r="H99" i="59" s="1"/>
  <c r="L29" i="55"/>
  <c r="L30" i="55" s="1"/>
  <c r="L31" i="55" s="1"/>
  <c r="M135" i="54"/>
  <c r="K134" i="59" s="1"/>
  <c r="L133" i="54"/>
  <c r="J132" i="59" s="1"/>
  <c r="K19" i="55"/>
  <c r="K20" i="55" s="1"/>
  <c r="K21" i="55" s="1"/>
  <c r="J34" i="55"/>
  <c r="J35" i="55" s="1"/>
  <c r="J36" i="55" s="1"/>
  <c r="K136" i="54"/>
  <c r="I135" i="59" s="1"/>
  <c r="M91" i="59"/>
  <c r="J82" i="59"/>
  <c r="J83" i="59" s="1"/>
  <c r="K74" i="59"/>
  <c r="L170" i="54"/>
  <c r="J169" i="59" s="1"/>
  <c r="J122" i="59"/>
  <c r="I171" i="54"/>
  <c r="G170" i="59" s="1"/>
  <c r="G123" i="59"/>
  <c r="L172" i="54"/>
  <c r="J171" i="59" s="1"/>
  <c r="J124" i="59"/>
  <c r="L81" i="59"/>
  <c r="J88" i="59"/>
  <c r="I88" i="59"/>
  <c r="L239" i="54"/>
  <c r="J63" i="59" s="1"/>
  <c r="N72" i="54"/>
  <c r="N123" i="54" s="1"/>
  <c r="J171" i="54"/>
  <c r="H170" i="59" s="1"/>
  <c r="O65" i="54"/>
  <c r="L80" i="54"/>
  <c r="K124" i="54"/>
  <c r="K81" i="54"/>
  <c r="O174" i="54" l="1"/>
  <c r="M173" i="59" s="1"/>
  <c r="N174" i="54"/>
  <c r="L173" i="59" s="1"/>
  <c r="O76" i="54"/>
  <c r="M78" i="59" s="1"/>
  <c r="O77" i="54"/>
  <c r="M79" i="59" s="1"/>
  <c r="O75" i="54"/>
  <c r="O78" i="54"/>
  <c r="M80" i="59" s="1"/>
  <c r="O84" i="54"/>
  <c r="M86" i="59" s="1"/>
  <c r="L238" i="54"/>
  <c r="J62" i="59" s="1"/>
  <c r="L147" i="54"/>
  <c r="J146" i="59" s="1"/>
  <c r="J89" i="59"/>
  <c r="O126" i="54"/>
  <c r="M125" i="59" s="1"/>
  <c r="M126" i="54"/>
  <c r="L77" i="59"/>
  <c r="M124" i="59"/>
  <c r="O172" i="54"/>
  <c r="M171" i="59" s="1"/>
  <c r="L173" i="54"/>
  <c r="J172" i="59" s="1"/>
  <c r="J125" i="59"/>
  <c r="K175" i="54"/>
  <c r="I174" i="59" s="1"/>
  <c r="I10" i="55"/>
  <c r="I11" i="55" s="1"/>
  <c r="K134" i="54"/>
  <c r="I133" i="59" s="1"/>
  <c r="J24" i="55"/>
  <c r="M133" i="54"/>
  <c r="K132" i="59" s="1"/>
  <c r="L19" i="55"/>
  <c r="L20" i="55" s="1"/>
  <c r="L21" i="55" s="1"/>
  <c r="H16" i="55"/>
  <c r="L136" i="54"/>
  <c r="J135" i="59" s="1"/>
  <c r="K34" i="55"/>
  <c r="K35" i="55" s="1"/>
  <c r="K36" i="55" s="1"/>
  <c r="M29" i="55"/>
  <c r="M30" i="55" s="1"/>
  <c r="M31" i="55" s="1"/>
  <c r="O135" i="54" s="1"/>
  <c r="M134" i="59" s="1"/>
  <c r="N135" i="54"/>
  <c r="L134" i="59" s="1"/>
  <c r="K82" i="59"/>
  <c r="K83" i="59" s="1"/>
  <c r="J90" i="59"/>
  <c r="M170" i="54"/>
  <c r="K169" i="59" s="1"/>
  <c r="K122" i="59"/>
  <c r="L74" i="59"/>
  <c r="M172" i="54"/>
  <c r="K171" i="59" s="1"/>
  <c r="M81" i="59"/>
  <c r="K171" i="54"/>
  <c r="I170" i="59" s="1"/>
  <c r="I123" i="59"/>
  <c r="K88" i="59"/>
  <c r="M239" i="54"/>
  <c r="K63" i="59" s="1"/>
  <c r="O72" i="54"/>
  <c r="M80" i="54"/>
  <c r="L124" i="54"/>
  <c r="J123" i="59" s="1"/>
  <c r="L81" i="54"/>
  <c r="M173" i="54" l="1"/>
  <c r="K172" i="59" s="1"/>
  <c r="M147" i="54"/>
  <c r="K146" i="59" s="1"/>
  <c r="M74" i="59"/>
  <c r="O123" i="54"/>
  <c r="O147" i="54"/>
  <c r="M146" i="59" s="1"/>
  <c r="L88" i="59"/>
  <c r="N126" i="54"/>
  <c r="M77" i="59"/>
  <c r="M238" i="54"/>
  <c r="K62" i="59" s="1"/>
  <c r="L175" i="54"/>
  <c r="J174" i="59" s="1"/>
  <c r="K125" i="59"/>
  <c r="J25" i="55"/>
  <c r="J26" i="55" s="1"/>
  <c r="J132" i="54"/>
  <c r="H131" i="59" s="1"/>
  <c r="H136" i="59" s="1"/>
  <c r="I14" i="55"/>
  <c r="L34" i="55"/>
  <c r="L35" i="55" s="1"/>
  <c r="L36" i="55" s="1"/>
  <c r="M136" i="54"/>
  <c r="K135" i="59" s="1"/>
  <c r="M19" i="55"/>
  <c r="M20" i="55" s="1"/>
  <c r="M21" i="55" s="1"/>
  <c r="O133" i="54" s="1"/>
  <c r="M132" i="59" s="1"/>
  <c r="N133" i="54"/>
  <c r="L132" i="59" s="1"/>
  <c r="J9" i="55"/>
  <c r="J10" i="55" s="1"/>
  <c r="J11" i="55" s="1"/>
  <c r="K131" i="54"/>
  <c r="I130" i="59" s="1"/>
  <c r="L82" i="59"/>
  <c r="L83" i="59" s="1"/>
  <c r="K89" i="59"/>
  <c r="K90" i="59"/>
  <c r="N172" i="54"/>
  <c r="L171" i="59" s="1"/>
  <c r="L124" i="59"/>
  <c r="N170" i="54"/>
  <c r="L169" i="59" s="1"/>
  <c r="L122" i="59"/>
  <c r="N239" i="54"/>
  <c r="L63" i="59" s="1"/>
  <c r="N80" i="54"/>
  <c r="L171" i="54"/>
  <c r="J170" i="59" s="1"/>
  <c r="M124" i="54"/>
  <c r="M81" i="54"/>
  <c r="O173" i="54" l="1"/>
  <c r="M172" i="59" s="1"/>
  <c r="N147" i="54"/>
  <c r="L146" i="59" s="1"/>
  <c r="M89" i="59"/>
  <c r="M90" i="59"/>
  <c r="M175" i="54"/>
  <c r="K174" i="59" s="1"/>
  <c r="L125" i="59"/>
  <c r="N238" i="54"/>
  <c r="L62" i="59" s="1"/>
  <c r="N173" i="54"/>
  <c r="L172" i="59" s="1"/>
  <c r="K24" i="55"/>
  <c r="L134" i="54"/>
  <c r="J133" i="59" s="1"/>
  <c r="I15" i="55"/>
  <c r="I38" i="55" s="1"/>
  <c r="I53" i="55" s="1"/>
  <c r="K95" i="54" s="1"/>
  <c r="I97" i="59" s="1"/>
  <c r="I98" i="59" s="1"/>
  <c r="I99" i="59" s="1"/>
  <c r="K9" i="55"/>
  <c r="L131" i="54"/>
  <c r="J130" i="59" s="1"/>
  <c r="N136" i="54"/>
  <c r="L135" i="59" s="1"/>
  <c r="M34" i="55"/>
  <c r="M82" i="59"/>
  <c r="M83" i="59" s="1"/>
  <c r="L89" i="59"/>
  <c r="L90" i="59"/>
  <c r="O239" i="54"/>
  <c r="M63" i="59" s="1"/>
  <c r="M122" i="59"/>
  <c r="M171" i="54"/>
  <c r="K170" i="59" s="1"/>
  <c r="K123" i="59"/>
  <c r="O80" i="54"/>
  <c r="O81" i="54" s="1"/>
  <c r="M88" i="59"/>
  <c r="O170" i="54"/>
  <c r="M169" i="59" s="1"/>
  <c r="N124" i="54"/>
  <c r="N81" i="54"/>
  <c r="N175" i="54" l="1"/>
  <c r="L174" i="59" s="1"/>
  <c r="O175" i="54"/>
  <c r="M174" i="59" s="1"/>
  <c r="K10" i="55"/>
  <c r="K11" i="55" s="1"/>
  <c r="M35" i="55"/>
  <c r="M36" i="55" s="1"/>
  <c r="O136" i="54" s="1"/>
  <c r="M135" i="59" s="1"/>
  <c r="I16" i="55"/>
  <c r="K25" i="55"/>
  <c r="K26" i="55" s="1"/>
  <c r="N171" i="54"/>
  <c r="L170" i="59" s="1"/>
  <c r="L123" i="59"/>
  <c r="O124" i="54"/>
  <c r="E188" i="54"/>
  <c r="L24" i="55" l="1"/>
  <c r="M134" i="54"/>
  <c r="K133" i="59" s="1"/>
  <c r="J14" i="55"/>
  <c r="K132" i="54"/>
  <c r="I131" i="59" s="1"/>
  <c r="I136" i="59" s="1"/>
  <c r="M131" i="54"/>
  <c r="K130" i="59" s="1"/>
  <c r="L9" i="55"/>
  <c r="E189" i="54"/>
  <c r="C187" i="59"/>
  <c r="C188" i="59" s="1"/>
  <c r="O171" i="54"/>
  <c r="M170" i="59" s="1"/>
  <c r="M123" i="59"/>
  <c r="J15" i="55" l="1"/>
  <c r="J38" i="55" s="1"/>
  <c r="J53" i="55" s="1"/>
  <c r="L95" i="54" s="1"/>
  <c r="J97" i="59" s="1"/>
  <c r="J98" i="59" s="1"/>
  <c r="J99" i="59" s="1"/>
  <c r="L10" i="55"/>
  <c r="L11" i="55" s="1"/>
  <c r="L25" i="55"/>
  <c r="L26" i="55" s="1"/>
  <c r="C8" i="57"/>
  <c r="D24" i="57" l="1"/>
  <c r="D25" i="57"/>
  <c r="J16" i="55"/>
  <c r="K14" i="55" s="1"/>
  <c r="N134" i="54"/>
  <c r="L133" i="59" s="1"/>
  <c r="M24" i="55"/>
  <c r="N131" i="54"/>
  <c r="L130" i="59" s="1"/>
  <c r="M9" i="55"/>
  <c r="C23" i="57"/>
  <c r="E182" i="54"/>
  <c r="C181" i="59" s="1"/>
  <c r="E152" i="54" l="1"/>
  <c r="F23" i="57"/>
  <c r="D23" i="57" s="1"/>
  <c r="E23" i="57" s="1"/>
  <c r="G23" i="57"/>
  <c r="L132" i="54"/>
  <c r="J131" i="59" s="1"/>
  <c r="J136" i="59" s="1"/>
  <c r="M25" i="55"/>
  <c r="M26" i="55" s="1"/>
  <c r="O134" i="54" s="1"/>
  <c r="M133" i="59" s="1"/>
  <c r="M10" i="55"/>
  <c r="M11" i="55" s="1"/>
  <c r="O131" i="54" s="1"/>
  <c r="M130" i="59" s="1"/>
  <c r="K15" i="55"/>
  <c r="K38" i="55" s="1"/>
  <c r="K53" i="55" s="1"/>
  <c r="M95" i="54" s="1"/>
  <c r="K97" i="59" s="1"/>
  <c r="K98" i="59" s="1"/>
  <c r="K99" i="59" s="1"/>
  <c r="K16" i="55" l="1"/>
  <c r="C151" i="59"/>
  <c r="F103" i="54"/>
  <c r="D105" i="59" s="1"/>
  <c r="L14" i="55" l="1"/>
  <c r="M132" i="54"/>
  <c r="K131" i="59" s="1"/>
  <c r="K136" i="59" s="1"/>
  <c r="F179" i="54"/>
  <c r="D178" i="59" s="1"/>
  <c r="C24" i="57"/>
  <c r="F24" i="57" l="1"/>
  <c r="E24" i="57" s="1"/>
  <c r="F152" i="54"/>
  <c r="L15" i="55"/>
  <c r="L38" i="55" s="1"/>
  <c r="L53" i="55" s="1"/>
  <c r="N95" i="54" s="1"/>
  <c r="L97" i="59" s="1"/>
  <c r="L98" i="59" s="1"/>
  <c r="L99" i="59" s="1"/>
  <c r="L16" i="55" l="1"/>
  <c r="D151" i="59"/>
  <c r="G103" i="54"/>
  <c r="E105" i="59" s="1"/>
  <c r="G24" i="57"/>
  <c r="N132" i="54" l="1"/>
  <c r="L131" i="59" s="1"/>
  <c r="L136" i="59" s="1"/>
  <c r="M14" i="55"/>
  <c r="G179" i="54"/>
  <c r="E178" i="59" s="1"/>
  <c r="C25" i="57"/>
  <c r="F25" i="57" l="1"/>
  <c r="E25" i="57" s="1"/>
  <c r="G152" i="54"/>
  <c r="M15" i="55"/>
  <c r="M38" i="55" s="1"/>
  <c r="M53" i="55" s="1"/>
  <c r="O95" i="54" s="1"/>
  <c r="M97" i="59" s="1"/>
  <c r="M98" i="59" s="1"/>
  <c r="M99" i="59" s="1"/>
  <c r="H96" i="54"/>
  <c r="H97" i="54" s="1"/>
  <c r="F96" i="54"/>
  <c r="F97" i="54" s="1"/>
  <c r="G96" i="54"/>
  <c r="G97" i="54" s="1"/>
  <c r="I96" i="54"/>
  <c r="I97" i="54" s="1"/>
  <c r="J96" i="54"/>
  <c r="J97" i="54" s="1"/>
  <c r="K96" i="54"/>
  <c r="K97" i="54" s="1"/>
  <c r="L96" i="54"/>
  <c r="L97" i="54" s="1"/>
  <c r="M96" i="54"/>
  <c r="M97" i="54" s="1"/>
  <c r="N96" i="54"/>
  <c r="N97" i="54" s="1"/>
  <c r="G169" i="54"/>
  <c r="E168" i="59" s="1"/>
  <c r="H169" i="54"/>
  <c r="F168" i="59" s="1"/>
  <c r="I169" i="54"/>
  <c r="G168" i="59" s="1"/>
  <c r="J169" i="54"/>
  <c r="H168" i="59" s="1"/>
  <c r="K169" i="54"/>
  <c r="I168" i="59" s="1"/>
  <c r="L169" i="54"/>
  <c r="J168" i="59" s="1"/>
  <c r="M169" i="54"/>
  <c r="K168" i="59" s="1"/>
  <c r="N169" i="54"/>
  <c r="L168" i="59" s="1"/>
  <c r="O96" i="54" l="1"/>
  <c r="O97" i="54" s="1"/>
  <c r="O169" i="54"/>
  <c r="M168" i="59" s="1"/>
  <c r="M16" i="55"/>
  <c r="O132" i="54" s="1"/>
  <c r="M131" i="59" s="1"/>
  <c r="M136" i="59" s="1"/>
  <c r="E151" i="59"/>
  <c r="H103" i="54"/>
  <c r="F105" i="59" s="1"/>
  <c r="G25" i="57"/>
  <c r="H179" i="54" l="1"/>
  <c r="F178" i="59" s="1"/>
  <c r="C26" i="57"/>
  <c r="G137" i="54"/>
  <c r="G240" i="54" s="1"/>
  <c r="E64" i="59" s="1"/>
  <c r="H137" i="54"/>
  <c r="H240" i="54" s="1"/>
  <c r="F64" i="59" s="1"/>
  <c r="I137" i="54"/>
  <c r="I240" i="54" s="1"/>
  <c r="G64" i="59" s="1"/>
  <c r="L137" i="54"/>
  <c r="L240" i="54" s="1"/>
  <c r="J64" i="59" s="1"/>
  <c r="M137" i="54"/>
  <c r="M240" i="54" s="1"/>
  <c r="K64" i="59" s="1"/>
  <c r="O137" i="54"/>
  <c r="O240" i="54" s="1"/>
  <c r="M64" i="59" s="1"/>
  <c r="F137" i="54"/>
  <c r="F240" i="54" s="1"/>
  <c r="D64" i="59" s="1"/>
  <c r="J137" i="54"/>
  <c r="J240" i="54" s="1"/>
  <c r="H64" i="59" s="1"/>
  <c r="K137" i="54"/>
  <c r="K240" i="54" s="1"/>
  <c r="I64" i="59" s="1"/>
  <c r="N137" i="54"/>
  <c r="N240" i="54" s="1"/>
  <c r="L64" i="59" s="1"/>
  <c r="E142" i="54"/>
  <c r="F142" i="54"/>
  <c r="F26" i="57" l="1"/>
  <c r="E26" i="57" s="1"/>
  <c r="H152" i="54"/>
  <c r="F151" i="59" l="1"/>
  <c r="I103" i="54"/>
  <c r="G105" i="59" s="1"/>
  <c r="G26" i="57"/>
  <c r="I179" i="54" l="1"/>
  <c r="G178" i="59" s="1"/>
  <c r="C27" i="57"/>
  <c r="F27" i="57" l="1"/>
  <c r="E27" i="57" s="1"/>
  <c r="I152" i="54"/>
  <c r="G151" i="59" l="1"/>
  <c r="J103" i="54"/>
  <c r="H105" i="59" s="1"/>
  <c r="G27" i="57"/>
  <c r="J179" i="54" l="1"/>
  <c r="H178" i="59" s="1"/>
  <c r="C28" i="57"/>
  <c r="F28" i="57" l="1"/>
  <c r="E28" i="57" s="1"/>
  <c r="J152" i="54"/>
  <c r="H151" i="59" l="1"/>
  <c r="K103" i="54"/>
  <c r="I105" i="59" s="1"/>
  <c r="G28" i="57"/>
  <c r="K179" i="54" l="1"/>
  <c r="I178" i="59" s="1"/>
  <c r="C29" i="57"/>
  <c r="F29" i="57" l="1"/>
  <c r="E29" i="57" s="1"/>
  <c r="K152" i="54"/>
  <c r="I151" i="59" l="1"/>
  <c r="L103" i="54"/>
  <c r="J105" i="59" s="1"/>
  <c r="G29" i="57"/>
  <c r="L179" i="54" l="1"/>
  <c r="J178" i="59" s="1"/>
  <c r="C30" i="57"/>
  <c r="F30" i="57" l="1"/>
  <c r="E30" i="57" s="1"/>
  <c r="L152" i="54"/>
  <c r="G30" i="57" l="1"/>
  <c r="J151" i="59"/>
  <c r="M103" i="54"/>
  <c r="K105" i="59" s="1"/>
  <c r="M179" i="54" l="1"/>
  <c r="K178" i="59" s="1"/>
  <c r="C31" i="57"/>
  <c r="F31" i="57" l="1"/>
  <c r="E31" i="57" s="1"/>
  <c r="M152" i="54"/>
  <c r="K151" i="59" l="1"/>
  <c r="N103" i="54"/>
  <c r="L105" i="59" s="1"/>
  <c r="G31" i="57"/>
  <c r="N179" i="54" l="1"/>
  <c r="L178" i="59" s="1"/>
  <c r="C32" i="57"/>
  <c r="F32" i="57" l="1"/>
  <c r="E32" i="57" s="1"/>
  <c r="N152" i="54"/>
  <c r="L151" i="59" l="1"/>
  <c r="O103" i="54"/>
  <c r="M105" i="59" s="1"/>
  <c r="G32" i="57"/>
  <c r="O179" i="54" l="1"/>
  <c r="M178" i="59" s="1"/>
  <c r="C33" i="57"/>
  <c r="F33" i="57" l="1"/>
  <c r="E33" i="57" s="1"/>
  <c r="O152" i="54"/>
  <c r="M151" i="59" l="1"/>
  <c r="G33" i="57"/>
  <c r="C34" i="57" l="1"/>
  <c r="F34" i="57" l="1"/>
  <c r="E34" i="57" s="1"/>
  <c r="G34" i="57" l="1"/>
  <c r="D143" i="57"/>
  <c r="C19" i="57" s="1"/>
  <c r="C35" i="57" l="1"/>
  <c r="F35" i="57" l="1"/>
  <c r="E35" i="57" l="1"/>
  <c r="G35" i="57" s="1"/>
  <c r="C36" i="57" s="1"/>
  <c r="F36" i="57" l="1"/>
  <c r="E36" i="57" l="1"/>
  <c r="G36" i="57" s="1"/>
  <c r="C37" i="57" s="1"/>
  <c r="F37" i="57" l="1"/>
  <c r="E37" i="57" l="1"/>
  <c r="G37" i="57" s="1"/>
  <c r="C38" i="57" s="1"/>
  <c r="F38" i="57" l="1"/>
  <c r="E38" i="57" s="1"/>
  <c r="G38" i="57" s="1"/>
  <c r="C39" i="57" l="1"/>
  <c r="F39" i="57" l="1"/>
  <c r="E39" i="57" s="1"/>
  <c r="G39" i="57" l="1"/>
  <c r="C40" i="57" s="1"/>
  <c r="F40" i="57" l="1"/>
  <c r="E40" i="57" l="1"/>
  <c r="G40" i="57" s="1"/>
  <c r="C41" i="57" s="1"/>
  <c r="F41" i="57" l="1"/>
  <c r="E41" i="57" l="1"/>
  <c r="G41" i="57" s="1"/>
  <c r="C42" i="57" s="1"/>
  <c r="F42" i="57" l="1"/>
  <c r="E42" i="57" l="1"/>
  <c r="G42" i="57" s="1"/>
  <c r="C43" i="57" s="1"/>
  <c r="F43" i="57" l="1"/>
  <c r="E43" i="57" l="1"/>
  <c r="G43" i="57" s="1"/>
  <c r="C44" i="57" s="1"/>
  <c r="F44" i="57" l="1"/>
  <c r="E44" i="57" l="1"/>
  <c r="G44" i="57" s="1"/>
  <c r="C45" i="57" s="1"/>
  <c r="F45" i="57" l="1"/>
  <c r="E45" i="57" s="1"/>
  <c r="G45" i="57" l="1"/>
  <c r="C46" i="57" s="1"/>
  <c r="F46" i="57" l="1"/>
  <c r="E46" i="57" l="1"/>
  <c r="G46" i="57" s="1"/>
  <c r="C47" i="57" s="1"/>
  <c r="F47" i="57" l="1"/>
  <c r="E47" i="57" l="1"/>
  <c r="G47" i="57" s="1"/>
  <c r="C48" i="57" s="1"/>
  <c r="F48" i="57" l="1"/>
  <c r="E48" i="57" l="1"/>
  <c r="G48" i="57" s="1"/>
  <c r="C49" i="57" s="1"/>
  <c r="F49" i="57" l="1"/>
  <c r="E49" i="57" s="1"/>
  <c r="G49" i="57" s="1"/>
  <c r="C50" i="57" l="1"/>
  <c r="F50" i="57" l="1"/>
  <c r="E50" i="57" s="1"/>
  <c r="G50" i="57" l="1"/>
  <c r="C51" i="57" s="1"/>
  <c r="F51" i="57" l="1"/>
  <c r="E51" i="57" s="1"/>
  <c r="G51" i="57" l="1"/>
  <c r="C52" i="57" s="1"/>
  <c r="F52" i="57" l="1"/>
  <c r="E52" i="57" s="1"/>
  <c r="G52" i="57" l="1"/>
  <c r="C53" i="57" s="1"/>
  <c r="F53" i="57" l="1"/>
  <c r="E53" i="57" l="1"/>
  <c r="G53" i="57" s="1"/>
  <c r="C54" i="57" s="1"/>
  <c r="F54" i="57" l="1"/>
  <c r="E54" i="57" s="1"/>
  <c r="G54" i="57" s="1"/>
  <c r="C55" i="57" l="1"/>
  <c r="F55" i="57" l="1"/>
  <c r="E55" i="57" l="1"/>
  <c r="G55" i="57" s="1"/>
  <c r="C56" i="57" s="1"/>
  <c r="F56" i="57" l="1"/>
  <c r="E56" i="57" s="1"/>
  <c r="G56" i="57" l="1"/>
  <c r="C57" i="57" s="1"/>
  <c r="F57" i="57" l="1"/>
  <c r="E57" i="57" s="1"/>
  <c r="G57" i="57" s="1"/>
  <c r="C58" i="57" l="1"/>
  <c r="F58" i="57" l="1"/>
  <c r="E58" i="57" l="1"/>
  <c r="G58" i="57" s="1"/>
  <c r="C59" i="57" s="1"/>
  <c r="F59" i="57" l="1"/>
  <c r="E59" i="57" l="1"/>
  <c r="G59" i="57" s="1"/>
  <c r="C60" i="57" s="1"/>
  <c r="F60" i="57" l="1"/>
  <c r="E60" i="57" l="1"/>
  <c r="G60" i="57" s="1"/>
  <c r="C61" i="57" s="1"/>
  <c r="F61" i="57" l="1"/>
  <c r="E61" i="57" l="1"/>
  <c r="G61" i="57" s="1"/>
  <c r="C62" i="57" s="1"/>
  <c r="F62" i="57" l="1"/>
  <c r="E62" i="57" s="1"/>
  <c r="G62" i="57" l="1"/>
  <c r="C63" i="57" s="1"/>
  <c r="F63" i="57" l="1"/>
  <c r="E63" i="57" l="1"/>
  <c r="G63" i="57" s="1"/>
  <c r="C64" i="57" s="1"/>
  <c r="F64" i="57" l="1"/>
  <c r="E64" i="57" s="1"/>
  <c r="G64" i="57" s="1"/>
  <c r="C65" i="57" l="1"/>
  <c r="F65" i="57" l="1"/>
  <c r="E65" i="57" l="1"/>
  <c r="G65" i="57" s="1"/>
  <c r="C66" i="57" s="1"/>
  <c r="F66" i="57" l="1"/>
  <c r="E66" i="57" s="1"/>
  <c r="G66" i="57" s="1"/>
  <c r="C67" i="57" l="1"/>
  <c r="F67" i="57" l="1"/>
  <c r="E67" i="57" s="1"/>
  <c r="G67" i="57" s="1"/>
  <c r="C68" i="57" l="1"/>
  <c r="F68" i="57" l="1"/>
  <c r="E68" i="57" s="1"/>
  <c r="G68" i="57" s="1"/>
  <c r="C69" i="57" l="1"/>
  <c r="F69" i="57" l="1"/>
  <c r="E69" i="57" l="1"/>
  <c r="G69" i="57" s="1"/>
  <c r="C70" i="57" s="1"/>
  <c r="F70" i="57" l="1"/>
  <c r="E70" i="57" l="1"/>
  <c r="G70" i="57" s="1"/>
  <c r="C71" i="57" s="1"/>
  <c r="F71" i="57" l="1"/>
  <c r="E71" i="57" s="1"/>
  <c r="G71" i="57" l="1"/>
  <c r="C72" i="57" s="1"/>
  <c r="F72" i="57" l="1"/>
  <c r="E72" i="57" s="1"/>
  <c r="G72" i="57" l="1"/>
  <c r="C73" i="57" s="1"/>
  <c r="F73" i="57" l="1"/>
  <c r="E73" i="57" s="1"/>
  <c r="G73" i="57" l="1"/>
  <c r="C74" i="57" s="1"/>
  <c r="E42" i="55"/>
  <c r="F74" i="57" l="1"/>
  <c r="E74" i="57" s="1"/>
  <c r="E44" i="55"/>
  <c r="G74" i="57" l="1"/>
  <c r="F42" i="55"/>
  <c r="F44" i="55" s="1"/>
  <c r="G140" i="54"/>
  <c r="C75" i="57" l="1"/>
  <c r="E139" i="59"/>
  <c r="E141" i="59" s="1"/>
  <c r="G142" i="54"/>
  <c r="G42" i="55"/>
  <c r="G44" i="55" s="1"/>
  <c r="H140" i="54"/>
  <c r="F75" i="57" l="1"/>
  <c r="E75" i="57" s="1"/>
  <c r="F139" i="59"/>
  <c r="F141" i="59" s="1"/>
  <c r="H142" i="54"/>
  <c r="H42" i="55"/>
  <c r="H44" i="55" s="1"/>
  <c r="I140" i="54"/>
  <c r="G75" i="57" l="1"/>
  <c r="G139" i="59"/>
  <c r="G141" i="59" s="1"/>
  <c r="I142" i="54"/>
  <c r="I42" i="55"/>
  <c r="I44" i="55" s="1"/>
  <c r="J140" i="54"/>
  <c r="C76" i="57" l="1"/>
  <c r="H139" i="59"/>
  <c r="H141" i="59" s="1"/>
  <c r="J142" i="54"/>
  <c r="J42" i="55"/>
  <c r="J44" i="55" s="1"/>
  <c r="K140" i="54"/>
  <c r="F76" i="57" l="1"/>
  <c r="E76" i="57" s="1"/>
  <c r="I139" i="59"/>
  <c r="I141" i="59" s="1"/>
  <c r="K142" i="54"/>
  <c r="K42" i="55"/>
  <c r="K44" i="55" s="1"/>
  <c r="L140" i="54"/>
  <c r="G76" i="57" l="1"/>
  <c r="J139" i="59"/>
  <c r="J141" i="59" s="1"/>
  <c r="L142" i="54"/>
  <c r="L42" i="55"/>
  <c r="L44" i="55" s="1"/>
  <c r="M140" i="54"/>
  <c r="C77" i="57" l="1"/>
  <c r="K139" i="59"/>
  <c r="K141" i="59" s="1"/>
  <c r="M142" i="54"/>
  <c r="M42" i="55"/>
  <c r="M44" i="55" s="1"/>
  <c r="O140" i="54" s="1"/>
  <c r="N140" i="54"/>
  <c r="F77" i="57" l="1"/>
  <c r="E77" i="57" s="1"/>
  <c r="M139" i="59"/>
  <c r="M141" i="59" s="1"/>
  <c r="O142" i="54"/>
  <c r="L139" i="59"/>
  <c r="L141" i="59" s="1"/>
  <c r="N142" i="54"/>
  <c r="G77" i="57" l="1"/>
  <c r="C78" i="57" l="1"/>
  <c r="F78" i="57" l="1"/>
  <c r="E78" i="57" l="1"/>
  <c r="G78" i="57" s="1"/>
  <c r="C79" i="57" s="1"/>
  <c r="F79" i="57" l="1"/>
  <c r="E79" i="57" s="1"/>
  <c r="G79" i="57" s="1"/>
  <c r="C80" i="57" l="1"/>
  <c r="F80" i="57" l="1"/>
  <c r="E80" i="57" l="1"/>
  <c r="G80" i="57" s="1"/>
  <c r="C81" i="57" s="1"/>
  <c r="F81" i="57" l="1"/>
  <c r="E81" i="57" l="1"/>
  <c r="G81" i="57" s="1"/>
  <c r="C82" i="57" s="1"/>
  <c r="F82" i="57" l="1"/>
  <c r="E82" i="57" s="1"/>
  <c r="G82" i="57" l="1"/>
  <c r="C83" i="57" s="1"/>
  <c r="F83" i="57" l="1"/>
  <c r="E83" i="57" s="1"/>
  <c r="G83" i="57" l="1"/>
  <c r="C84" i="57" s="1"/>
  <c r="F84" i="57" l="1"/>
  <c r="E84" i="57" s="1"/>
  <c r="G84" i="57" s="1"/>
  <c r="C85" i="57" l="1"/>
  <c r="F85" i="57" l="1"/>
  <c r="E85" i="57" s="1"/>
  <c r="G85" i="57" l="1"/>
  <c r="C86" i="57" s="1"/>
  <c r="F86" i="57" l="1"/>
  <c r="E86" i="57" l="1"/>
  <c r="G86" i="57" s="1"/>
  <c r="C87" i="57" s="1"/>
  <c r="F87" i="57" l="1"/>
  <c r="E87" i="57" l="1"/>
  <c r="G87" i="57" s="1"/>
  <c r="C88" i="57" s="1"/>
  <c r="F88" i="57" l="1"/>
  <c r="E88" i="57" s="1"/>
  <c r="G88" i="57" l="1"/>
  <c r="C89" i="57" s="1"/>
  <c r="F89" i="57" l="1"/>
  <c r="E89" i="57" s="1"/>
  <c r="G89" i="57" s="1"/>
  <c r="C90" i="57" l="1"/>
  <c r="F90" i="57" l="1"/>
  <c r="E90" i="57" l="1"/>
  <c r="G90" i="57" s="1"/>
  <c r="C91" i="57" s="1"/>
  <c r="F91" i="57" l="1"/>
  <c r="E91" i="57" l="1"/>
  <c r="G91" i="57" s="1"/>
  <c r="C92" i="57" s="1"/>
  <c r="F92" i="57" l="1"/>
  <c r="E92" i="57" l="1"/>
  <c r="G92" i="57" s="1"/>
  <c r="C93" i="57" s="1"/>
  <c r="F93" i="57" l="1"/>
  <c r="E93" i="57" s="1"/>
  <c r="G93" i="57" s="1"/>
  <c r="C94" i="57" l="1"/>
  <c r="F94" i="57" l="1"/>
  <c r="E94" i="57" l="1"/>
  <c r="G94" i="57" s="1"/>
  <c r="C95" i="57" s="1"/>
  <c r="F95" i="57" l="1"/>
  <c r="E95" i="57" l="1"/>
  <c r="G95" i="57" s="1"/>
  <c r="C96" i="57" s="1"/>
  <c r="F96" i="57" l="1"/>
  <c r="E96" i="57" s="1"/>
  <c r="G96" i="57" l="1"/>
  <c r="C97" i="57" s="1"/>
  <c r="F97" i="57" l="1"/>
  <c r="E97" i="57" s="1"/>
  <c r="G97" i="57" s="1"/>
  <c r="C98" i="57" l="1"/>
  <c r="F98" i="57" l="1"/>
  <c r="E98" i="57" l="1"/>
  <c r="G98" i="57" s="1"/>
  <c r="C99" i="57" s="1"/>
  <c r="F99" i="57" l="1"/>
  <c r="E99" i="57" l="1"/>
  <c r="G99" i="57" s="1"/>
  <c r="C100" i="57" s="1"/>
  <c r="F100" i="57" l="1"/>
  <c r="E100" i="57" l="1"/>
  <c r="G100" i="57" s="1"/>
  <c r="C101" i="57" s="1"/>
  <c r="F101" i="57" l="1"/>
  <c r="E101" i="57" l="1"/>
  <c r="G101" i="57" s="1"/>
  <c r="C102" i="57" s="1"/>
  <c r="F102" i="57" l="1"/>
  <c r="E102" i="57" s="1"/>
  <c r="G102" i="57" l="1"/>
  <c r="C103" i="57" s="1"/>
  <c r="F103" i="57" l="1"/>
  <c r="E103" i="57" s="1"/>
  <c r="G103" i="57" s="1"/>
  <c r="C104" i="57" l="1"/>
  <c r="F104" i="57" l="1"/>
  <c r="E104" i="57" s="1"/>
  <c r="G104" i="57" l="1"/>
  <c r="C105" i="57" s="1"/>
  <c r="F105" i="57" l="1"/>
  <c r="E105" i="57" s="1"/>
  <c r="G105" i="57" l="1"/>
  <c r="C106" i="57" s="1"/>
  <c r="F106" i="57" l="1"/>
  <c r="E106" i="57" s="1"/>
  <c r="G106" i="57" l="1"/>
  <c r="C107" i="57" s="1"/>
  <c r="F107" i="57" l="1"/>
  <c r="E107" i="57" l="1"/>
  <c r="G107" i="57" s="1"/>
  <c r="C108" i="57" s="1"/>
  <c r="F108" i="57" l="1"/>
  <c r="E108" i="57" l="1"/>
  <c r="G108" i="57" s="1"/>
  <c r="C109" i="57" s="1"/>
  <c r="F109" i="57" l="1"/>
  <c r="E109" i="57" l="1"/>
  <c r="G109" i="57" s="1"/>
  <c r="C110" i="57" s="1"/>
  <c r="F110" i="57" l="1"/>
  <c r="E110" i="57" l="1"/>
  <c r="G110" i="57" s="1"/>
  <c r="C111" i="57" s="1"/>
  <c r="F111" i="57" l="1"/>
  <c r="E111" i="57" l="1"/>
  <c r="G111" i="57" s="1"/>
  <c r="C112" i="57" s="1"/>
  <c r="F112" i="57" l="1"/>
  <c r="E112" i="57" l="1"/>
  <c r="G112" i="57" s="1"/>
  <c r="C113" i="57" s="1"/>
  <c r="F113" i="57" l="1"/>
  <c r="E113" i="57" l="1"/>
  <c r="G113" i="57" s="1"/>
  <c r="C114" i="57" s="1"/>
  <c r="F114" i="57" l="1"/>
  <c r="E114" i="57" s="1"/>
  <c r="G114" i="57" s="1"/>
  <c r="C115" i="57" l="1"/>
  <c r="F115" i="57" l="1"/>
  <c r="E115" i="57" s="1"/>
  <c r="G115" i="57" l="1"/>
  <c r="C116" i="57" s="1"/>
  <c r="F116" i="57" l="1"/>
  <c r="E116" i="57" l="1"/>
  <c r="G116" i="57" s="1"/>
  <c r="C117" i="57" s="1"/>
  <c r="F117" i="57" l="1"/>
  <c r="E117" i="57" l="1"/>
  <c r="G117" i="57" s="1"/>
  <c r="C118" i="57" s="1"/>
  <c r="F118" i="57" l="1"/>
  <c r="E118" i="57" l="1"/>
  <c r="G118" i="57" s="1"/>
  <c r="C119" i="57" s="1"/>
  <c r="F119" i="57" l="1"/>
  <c r="E119" i="57" l="1"/>
  <c r="G119" i="57" s="1"/>
  <c r="C120" i="57" s="1"/>
  <c r="F120" i="57" l="1"/>
  <c r="E120" i="57" s="1"/>
  <c r="G120" i="57" s="1"/>
  <c r="C121" i="57" l="1"/>
  <c r="F121" i="57" l="1"/>
  <c r="E121" i="57" s="1"/>
  <c r="G121" i="57" l="1"/>
  <c r="C122" i="57" s="1"/>
  <c r="F122" i="57" l="1"/>
  <c r="E122" i="57" l="1"/>
  <c r="G122" i="57" s="1"/>
  <c r="C123" i="57" s="1"/>
  <c r="F123" i="57" l="1"/>
  <c r="E123" i="57" l="1"/>
  <c r="G123" i="57" s="1"/>
  <c r="C124" i="57" s="1"/>
  <c r="F124" i="57" l="1"/>
  <c r="E124" i="57" l="1"/>
  <c r="G124" i="57" s="1"/>
  <c r="C125" i="57" s="1"/>
  <c r="F125" i="57" l="1"/>
  <c r="E125" i="57" l="1"/>
  <c r="G125" i="57" s="1"/>
  <c r="C126" i="57" s="1"/>
  <c r="F126" i="57" l="1"/>
  <c r="E126" i="57" l="1"/>
  <c r="G126" i="57" s="1"/>
  <c r="C127" i="57" s="1"/>
  <c r="F127" i="57" l="1"/>
  <c r="E127" i="57" l="1"/>
  <c r="G127" i="57" s="1"/>
  <c r="C128" i="57" s="1"/>
  <c r="F128" i="57" l="1"/>
  <c r="E128" i="57" s="1"/>
  <c r="G128" i="57" s="1"/>
  <c r="C129" i="57" l="1"/>
  <c r="F129" i="57" l="1"/>
  <c r="E129" i="57" s="1"/>
  <c r="G129" i="57" s="1"/>
  <c r="C130" i="57" l="1"/>
  <c r="F130" i="57" l="1"/>
  <c r="E130" i="57" l="1"/>
  <c r="G130" i="57" s="1"/>
  <c r="C131" i="57" s="1"/>
  <c r="F131" i="57" l="1"/>
  <c r="E131" i="57" s="1"/>
  <c r="G131" i="57" s="1"/>
  <c r="C132" i="57" l="1"/>
  <c r="F132" i="57" l="1"/>
  <c r="E132" i="57" l="1"/>
  <c r="G132" i="57" s="1"/>
  <c r="C133" i="57" s="1"/>
  <c r="F133" i="57" l="1"/>
  <c r="E133" i="57" l="1"/>
  <c r="G133" i="57" s="1"/>
  <c r="C134" i="57" s="1"/>
  <c r="F134" i="57" l="1"/>
  <c r="E134" i="57" l="1"/>
  <c r="G134" i="57" s="1"/>
  <c r="C135" i="57" s="1"/>
  <c r="F135" i="57" l="1"/>
  <c r="E135" i="57" s="1"/>
  <c r="G135" i="57" l="1"/>
  <c r="C136" i="57" s="1"/>
  <c r="F136" i="57" l="1"/>
  <c r="E136" i="57" s="1"/>
  <c r="G136" i="57" l="1"/>
  <c r="C137" i="57" s="1"/>
  <c r="F137" i="57" l="1"/>
  <c r="E137" i="57" l="1"/>
  <c r="G137" i="57" s="1"/>
  <c r="C138" i="57" s="1"/>
  <c r="F138" i="57" l="1"/>
  <c r="E138" i="57" s="1"/>
  <c r="G138" i="57" l="1"/>
  <c r="C139" i="57" s="1"/>
  <c r="F139" i="57" l="1"/>
  <c r="E139" i="57" s="1"/>
  <c r="G139" i="57" l="1"/>
  <c r="C140" i="57" s="1"/>
  <c r="F140" i="57" l="1"/>
  <c r="E140" i="57" l="1"/>
  <c r="G140" i="57" s="1"/>
  <c r="C141" i="57" s="1"/>
  <c r="F141" i="57" l="1"/>
  <c r="E141" i="57" s="1"/>
  <c r="G141" i="57" l="1"/>
  <c r="C142" i="57" s="1"/>
  <c r="F142" i="57" l="1"/>
  <c r="F143" i="57"/>
  <c r="C18" i="57" s="1"/>
  <c r="E142" i="57" l="1"/>
  <c r="G142" i="57" s="1"/>
  <c r="E143" i="57"/>
  <c r="E20" i="54"/>
  <c r="E21" i="54"/>
  <c r="E42" i="54"/>
  <c r="E43" i="54"/>
  <c r="F46" i="54"/>
  <c r="G46" i="54"/>
  <c r="H46" i="54"/>
  <c r="I46" i="54"/>
  <c r="J46" i="54"/>
  <c r="K46" i="54"/>
  <c r="L46" i="54"/>
  <c r="M46" i="54"/>
  <c r="N46" i="54"/>
  <c r="O46" i="54"/>
  <c r="E47" i="54"/>
  <c r="F47" i="54"/>
  <c r="G47" i="54"/>
  <c r="H47" i="54"/>
  <c r="I47" i="54"/>
  <c r="J47" i="54"/>
  <c r="K47" i="54"/>
  <c r="L47" i="54"/>
  <c r="M47" i="54"/>
  <c r="N47" i="54"/>
  <c r="O47" i="54"/>
  <c r="D48" i="54"/>
  <c r="E48" i="54"/>
  <c r="F48" i="54"/>
  <c r="G48" i="54"/>
  <c r="H48" i="54"/>
  <c r="I48" i="54"/>
  <c r="J48" i="54"/>
  <c r="K48" i="54"/>
  <c r="L48" i="54"/>
  <c r="M48" i="54"/>
  <c r="N48" i="54"/>
  <c r="O48" i="54"/>
  <c r="D49" i="54"/>
  <c r="E49" i="54"/>
  <c r="F49" i="54"/>
  <c r="G49" i="54"/>
  <c r="H49" i="54"/>
  <c r="I49" i="54"/>
  <c r="J49" i="54"/>
  <c r="K49" i="54"/>
  <c r="L49" i="54"/>
  <c r="M49" i="54"/>
  <c r="N49" i="54"/>
  <c r="O49" i="54"/>
  <c r="F99" i="54"/>
  <c r="G99" i="54"/>
  <c r="H99" i="54"/>
  <c r="I99" i="54"/>
  <c r="J99" i="54"/>
  <c r="K99" i="54"/>
  <c r="L99" i="54"/>
  <c r="M99" i="54"/>
  <c r="N99" i="54"/>
  <c r="O99" i="54"/>
  <c r="F100" i="54"/>
  <c r="G100" i="54"/>
  <c r="H100" i="54"/>
  <c r="I100" i="54"/>
  <c r="J100" i="54"/>
  <c r="K100" i="54"/>
  <c r="L100" i="54"/>
  <c r="M100" i="54"/>
  <c r="N100" i="54"/>
  <c r="O100" i="54"/>
  <c r="F102" i="54"/>
  <c r="G102" i="54"/>
  <c r="H102" i="54"/>
  <c r="I102" i="54"/>
  <c r="J102" i="54"/>
  <c r="K102" i="54"/>
  <c r="L102" i="54"/>
  <c r="M102" i="54"/>
  <c r="N102" i="54"/>
  <c r="O102" i="54"/>
  <c r="F104" i="54"/>
  <c r="G104" i="54"/>
  <c r="H104" i="54"/>
  <c r="I104" i="54"/>
  <c r="J104" i="54"/>
  <c r="K104" i="54"/>
  <c r="L104" i="54"/>
  <c r="M104" i="54"/>
  <c r="N104" i="54"/>
  <c r="O104" i="54"/>
  <c r="F105" i="54"/>
  <c r="G105" i="54"/>
  <c r="H105" i="54"/>
  <c r="I105" i="54"/>
  <c r="J105" i="54"/>
  <c r="K105" i="54"/>
  <c r="L105" i="54"/>
  <c r="M105" i="54"/>
  <c r="N105" i="54"/>
  <c r="O105" i="54"/>
  <c r="F106" i="54"/>
  <c r="G106" i="54"/>
  <c r="H106" i="54"/>
  <c r="I106" i="54"/>
  <c r="J106" i="54"/>
  <c r="K106" i="54"/>
  <c r="L106" i="54"/>
  <c r="M106" i="54"/>
  <c r="N106" i="54"/>
  <c r="O106" i="54"/>
  <c r="F108" i="54"/>
  <c r="G108" i="54"/>
  <c r="H108" i="54"/>
  <c r="I108" i="54"/>
  <c r="J108" i="54"/>
  <c r="K108" i="54"/>
  <c r="L108" i="54"/>
  <c r="M108" i="54"/>
  <c r="N108" i="54"/>
  <c r="O108" i="54"/>
  <c r="F109" i="54"/>
  <c r="G109" i="54"/>
  <c r="H109" i="54"/>
  <c r="I109" i="54"/>
  <c r="J109" i="54"/>
  <c r="K109" i="54"/>
  <c r="L109" i="54"/>
  <c r="M109" i="54"/>
  <c r="N109" i="54"/>
  <c r="O109" i="54"/>
  <c r="G111" i="54"/>
  <c r="H111" i="54"/>
  <c r="I111" i="54"/>
  <c r="J111" i="54"/>
  <c r="K111" i="54"/>
  <c r="L111" i="54"/>
  <c r="M111" i="54"/>
  <c r="N111" i="54"/>
  <c r="O111" i="54"/>
  <c r="F112" i="54"/>
  <c r="G112" i="54"/>
  <c r="H112" i="54"/>
  <c r="I112" i="54"/>
  <c r="J112" i="54"/>
  <c r="K112" i="54"/>
  <c r="L112" i="54"/>
  <c r="M112" i="54"/>
  <c r="N112" i="54"/>
  <c r="O112" i="54"/>
  <c r="F113" i="54"/>
  <c r="G113" i="54"/>
  <c r="H113" i="54"/>
  <c r="I113" i="54"/>
  <c r="J113" i="54"/>
  <c r="K113" i="54"/>
  <c r="L113" i="54"/>
  <c r="M113" i="54"/>
  <c r="N113" i="54"/>
  <c r="O113" i="54"/>
  <c r="E122" i="54"/>
  <c r="F122" i="54"/>
  <c r="G122" i="54"/>
  <c r="H122" i="54"/>
  <c r="I122" i="54"/>
  <c r="J122" i="54"/>
  <c r="K122" i="54"/>
  <c r="L122" i="54"/>
  <c r="M122" i="54"/>
  <c r="N122" i="54"/>
  <c r="O122" i="54"/>
  <c r="E128" i="54"/>
  <c r="F128" i="54"/>
  <c r="G128" i="54"/>
  <c r="H128" i="54"/>
  <c r="I128" i="54"/>
  <c r="J128" i="54"/>
  <c r="K128" i="54"/>
  <c r="L128" i="54"/>
  <c r="M128" i="54"/>
  <c r="N128" i="54"/>
  <c r="O128" i="54"/>
  <c r="E143" i="54"/>
  <c r="F143" i="54"/>
  <c r="G143" i="54"/>
  <c r="H143" i="54"/>
  <c r="I143" i="54"/>
  <c r="J143" i="54"/>
  <c r="K143" i="54"/>
  <c r="L143" i="54"/>
  <c r="M143" i="54"/>
  <c r="N143" i="54"/>
  <c r="O143" i="54"/>
  <c r="E148" i="54"/>
  <c r="F148" i="54"/>
  <c r="G148" i="54"/>
  <c r="H148" i="54"/>
  <c r="I148" i="54"/>
  <c r="J148" i="54"/>
  <c r="K148" i="54"/>
  <c r="L148" i="54"/>
  <c r="M148" i="54"/>
  <c r="N148" i="54"/>
  <c r="O148" i="54"/>
  <c r="E149" i="54"/>
  <c r="F149" i="54"/>
  <c r="G149" i="54"/>
  <c r="H149" i="54"/>
  <c r="I149" i="54"/>
  <c r="J149" i="54"/>
  <c r="K149" i="54"/>
  <c r="L149" i="54"/>
  <c r="M149" i="54"/>
  <c r="N149" i="54"/>
  <c r="O149" i="54"/>
  <c r="E153" i="54"/>
  <c r="F153" i="54"/>
  <c r="G153" i="54"/>
  <c r="H153" i="54"/>
  <c r="I153" i="54"/>
  <c r="J153" i="54"/>
  <c r="K153" i="54"/>
  <c r="L153" i="54"/>
  <c r="M153" i="54"/>
  <c r="N153" i="54"/>
  <c r="O153" i="54"/>
  <c r="E154" i="54"/>
  <c r="F154" i="54"/>
  <c r="G154" i="54"/>
  <c r="H154" i="54"/>
  <c r="I154" i="54"/>
  <c r="J154" i="54"/>
  <c r="K154" i="54"/>
  <c r="L154" i="54"/>
  <c r="M154" i="54"/>
  <c r="N154" i="54"/>
  <c r="O154" i="54"/>
  <c r="E157" i="54"/>
  <c r="F157" i="54"/>
  <c r="G157" i="54"/>
  <c r="H157" i="54"/>
  <c r="I157" i="54"/>
  <c r="J157" i="54"/>
  <c r="K157" i="54"/>
  <c r="L157" i="54"/>
  <c r="M157" i="54"/>
  <c r="N157" i="54"/>
  <c r="O157" i="54"/>
  <c r="F158" i="54"/>
  <c r="G158" i="54"/>
  <c r="H158" i="54"/>
  <c r="I158" i="54"/>
  <c r="J158" i="54"/>
  <c r="K158" i="54"/>
  <c r="L158" i="54"/>
  <c r="M158" i="54"/>
  <c r="N158" i="54"/>
  <c r="O158" i="54"/>
  <c r="E159" i="54"/>
  <c r="F159" i="54"/>
  <c r="G159" i="54"/>
  <c r="H159" i="54"/>
  <c r="I159" i="54"/>
  <c r="J159" i="54"/>
  <c r="K159" i="54"/>
  <c r="L159" i="54"/>
  <c r="M159" i="54"/>
  <c r="N159" i="54"/>
  <c r="O159" i="54"/>
  <c r="E160" i="54"/>
  <c r="F160" i="54"/>
  <c r="G160" i="54"/>
  <c r="H160" i="54"/>
  <c r="I160" i="54"/>
  <c r="J160" i="54"/>
  <c r="K160" i="54"/>
  <c r="L160" i="54"/>
  <c r="M160" i="54"/>
  <c r="N160" i="54"/>
  <c r="O160" i="54"/>
  <c r="E161" i="54"/>
  <c r="F161" i="54"/>
  <c r="G161" i="54"/>
  <c r="H161" i="54"/>
  <c r="I161" i="54"/>
  <c r="J161" i="54"/>
  <c r="K161" i="54"/>
  <c r="L161" i="54"/>
  <c r="M161" i="54"/>
  <c r="N161" i="54"/>
  <c r="O161" i="54"/>
  <c r="F168" i="54"/>
  <c r="G168" i="54"/>
  <c r="H168" i="54"/>
  <c r="I168" i="54"/>
  <c r="J168" i="54"/>
  <c r="K168" i="54"/>
  <c r="L168" i="54"/>
  <c r="M168" i="54"/>
  <c r="N168" i="54"/>
  <c r="O168" i="54"/>
  <c r="F176" i="54"/>
  <c r="G176" i="54"/>
  <c r="H176" i="54"/>
  <c r="I176" i="54"/>
  <c r="J176" i="54"/>
  <c r="K176" i="54"/>
  <c r="L176" i="54"/>
  <c r="M176" i="54"/>
  <c r="N176" i="54"/>
  <c r="O176" i="54"/>
  <c r="F180" i="54"/>
  <c r="G180" i="54"/>
  <c r="H180" i="54"/>
  <c r="I180" i="54"/>
  <c r="J180" i="54"/>
  <c r="K180" i="54"/>
  <c r="L180" i="54"/>
  <c r="M180" i="54"/>
  <c r="N180" i="54"/>
  <c r="O180" i="54"/>
  <c r="F181" i="54"/>
  <c r="G181" i="54"/>
  <c r="H181" i="54"/>
  <c r="I181" i="54"/>
  <c r="J181" i="54"/>
  <c r="K181" i="54"/>
  <c r="L181" i="54"/>
  <c r="M181" i="54"/>
  <c r="N181" i="54"/>
  <c r="O181" i="54"/>
  <c r="F182" i="54"/>
  <c r="G182" i="54"/>
  <c r="H182" i="54"/>
  <c r="I182" i="54"/>
  <c r="J182" i="54"/>
  <c r="K182" i="54"/>
  <c r="L182" i="54"/>
  <c r="M182" i="54"/>
  <c r="N182" i="54"/>
  <c r="O182" i="54"/>
  <c r="E183" i="54"/>
  <c r="F183" i="54"/>
  <c r="G183" i="54"/>
  <c r="H183" i="54"/>
  <c r="I183" i="54"/>
  <c r="J183" i="54"/>
  <c r="K183" i="54"/>
  <c r="L183" i="54"/>
  <c r="M183" i="54"/>
  <c r="N183" i="54"/>
  <c r="O183" i="54"/>
  <c r="E184" i="54"/>
  <c r="F184" i="54"/>
  <c r="G184" i="54"/>
  <c r="H184" i="54"/>
  <c r="I184" i="54"/>
  <c r="J184" i="54"/>
  <c r="K184" i="54"/>
  <c r="L184" i="54"/>
  <c r="M184" i="54"/>
  <c r="N184" i="54"/>
  <c r="O184" i="54"/>
  <c r="E185" i="54"/>
  <c r="F185" i="54"/>
  <c r="G185" i="54"/>
  <c r="H185" i="54"/>
  <c r="I185" i="54"/>
  <c r="J185" i="54"/>
  <c r="K185" i="54"/>
  <c r="L185" i="54"/>
  <c r="M185" i="54"/>
  <c r="N185" i="54"/>
  <c r="O185" i="54"/>
  <c r="E191" i="54"/>
  <c r="F191" i="54"/>
  <c r="G191" i="54"/>
  <c r="H191" i="54"/>
  <c r="I191" i="54"/>
  <c r="J191" i="54"/>
  <c r="K191" i="54"/>
  <c r="L191" i="54"/>
  <c r="M191" i="54"/>
  <c r="N191" i="54"/>
  <c r="O191" i="54"/>
  <c r="F193" i="54"/>
  <c r="G193" i="54"/>
  <c r="H193" i="54"/>
  <c r="I193" i="54"/>
  <c r="J193" i="54"/>
  <c r="K193" i="54"/>
  <c r="L193" i="54"/>
  <c r="M193" i="54"/>
  <c r="N193" i="54"/>
  <c r="O193" i="54"/>
  <c r="F194" i="54"/>
  <c r="G194" i="54"/>
  <c r="H194" i="54"/>
  <c r="I194" i="54"/>
  <c r="J194" i="54"/>
  <c r="K194" i="54"/>
  <c r="L194" i="54"/>
  <c r="M194" i="54"/>
  <c r="N194" i="54"/>
  <c r="O194" i="54"/>
  <c r="E195" i="54"/>
  <c r="F195" i="54"/>
  <c r="G195" i="54"/>
  <c r="H195" i="54"/>
  <c r="I195" i="54"/>
  <c r="J195" i="54"/>
  <c r="K195" i="54"/>
  <c r="L195" i="54"/>
  <c r="M195" i="54"/>
  <c r="N195" i="54"/>
  <c r="O195" i="54"/>
  <c r="E196" i="54"/>
  <c r="F196" i="54"/>
  <c r="G196" i="54"/>
  <c r="H196" i="54"/>
  <c r="I196" i="54"/>
  <c r="J196" i="54"/>
  <c r="K196" i="54"/>
  <c r="L196" i="54"/>
  <c r="M196" i="54"/>
  <c r="N196" i="54"/>
  <c r="O196" i="54"/>
  <c r="E203" i="54"/>
  <c r="F203" i="54"/>
  <c r="G203" i="54"/>
  <c r="H203" i="54"/>
  <c r="I203" i="54"/>
  <c r="J203" i="54"/>
  <c r="K203" i="54"/>
  <c r="L203" i="54"/>
  <c r="M203" i="54"/>
  <c r="N203" i="54"/>
  <c r="O203" i="54"/>
  <c r="E205" i="54"/>
  <c r="F205" i="54"/>
  <c r="G205" i="54"/>
  <c r="H205" i="54"/>
  <c r="I205" i="54"/>
  <c r="J205" i="54"/>
  <c r="K205" i="54"/>
  <c r="L205" i="54"/>
  <c r="M205" i="54"/>
  <c r="N205" i="54"/>
  <c r="O205" i="54"/>
  <c r="O207" i="54"/>
  <c r="F208" i="54"/>
  <c r="G208" i="54"/>
  <c r="H208" i="54"/>
  <c r="I208" i="54"/>
  <c r="J208" i="54"/>
  <c r="K208" i="54"/>
  <c r="L208" i="54"/>
  <c r="M208" i="54"/>
  <c r="N208" i="54"/>
  <c r="O208" i="54"/>
  <c r="E209" i="54"/>
  <c r="F209" i="54"/>
  <c r="G209" i="54"/>
  <c r="H209" i="54"/>
  <c r="I209" i="54"/>
  <c r="J209" i="54"/>
  <c r="K209" i="54"/>
  <c r="L209" i="54"/>
  <c r="M209" i="54"/>
  <c r="N209" i="54"/>
  <c r="O209" i="54"/>
  <c r="E210" i="54"/>
  <c r="F210" i="54"/>
  <c r="G210" i="54"/>
  <c r="H210" i="54"/>
  <c r="I210" i="54"/>
  <c r="J210" i="54"/>
  <c r="K210" i="54"/>
  <c r="L210" i="54"/>
  <c r="M210" i="54"/>
  <c r="N210" i="54"/>
  <c r="O210" i="54"/>
  <c r="E212" i="54"/>
  <c r="F212" i="54"/>
  <c r="G212" i="54"/>
  <c r="H212" i="54"/>
  <c r="I212" i="54"/>
  <c r="J212" i="54"/>
  <c r="K212" i="54"/>
  <c r="L212" i="54"/>
  <c r="M212" i="54"/>
  <c r="N212" i="54"/>
  <c r="O212" i="54"/>
  <c r="E213" i="54"/>
  <c r="F213" i="54"/>
  <c r="G213" i="54"/>
  <c r="H213" i="54"/>
  <c r="I213" i="54"/>
  <c r="J213" i="54"/>
  <c r="K213" i="54"/>
  <c r="L213" i="54"/>
  <c r="M213" i="54"/>
  <c r="N213" i="54"/>
  <c r="O213" i="54"/>
  <c r="E216" i="54"/>
  <c r="F216" i="54"/>
  <c r="G216" i="54"/>
  <c r="H216" i="54"/>
  <c r="I216" i="54"/>
  <c r="J216" i="54"/>
  <c r="K216" i="54"/>
  <c r="L216" i="54"/>
  <c r="M216" i="54"/>
  <c r="N216" i="54"/>
  <c r="O216" i="54"/>
  <c r="F217" i="54"/>
  <c r="G217" i="54"/>
  <c r="H217" i="54"/>
  <c r="I217" i="54"/>
  <c r="J217" i="54"/>
  <c r="K217" i="54"/>
  <c r="L217" i="54"/>
  <c r="M217" i="54"/>
  <c r="N217" i="54"/>
  <c r="O217" i="54"/>
  <c r="D219" i="54"/>
  <c r="D220" i="54"/>
  <c r="D221" i="54"/>
  <c r="D222" i="54"/>
  <c r="F230" i="54"/>
  <c r="G230" i="54"/>
  <c r="H230" i="54"/>
  <c r="I230" i="54"/>
  <c r="J230" i="54"/>
  <c r="K230" i="54"/>
  <c r="L230" i="54"/>
  <c r="M230" i="54"/>
  <c r="N230" i="54"/>
  <c r="O230" i="54"/>
  <c r="F231" i="54"/>
  <c r="G231" i="54"/>
  <c r="H231" i="54"/>
  <c r="I231" i="54"/>
  <c r="J231" i="54"/>
  <c r="K231" i="54"/>
  <c r="L231" i="54"/>
  <c r="M231" i="54"/>
  <c r="N231" i="54"/>
  <c r="O231" i="54"/>
  <c r="F232" i="54"/>
  <c r="G232" i="54"/>
  <c r="H232" i="54"/>
  <c r="I232" i="54"/>
  <c r="J232" i="54"/>
  <c r="K232" i="54"/>
  <c r="L232" i="54"/>
  <c r="M232" i="54"/>
  <c r="N232" i="54"/>
  <c r="O232" i="54"/>
  <c r="F233" i="54"/>
  <c r="G233" i="54"/>
  <c r="H233" i="54"/>
  <c r="I233" i="54"/>
  <c r="J233" i="54"/>
  <c r="K233" i="54"/>
  <c r="L233" i="54"/>
  <c r="M233" i="54"/>
  <c r="N233" i="54"/>
  <c r="O233" i="54"/>
  <c r="F235" i="54"/>
  <c r="G235" i="54"/>
  <c r="H235" i="54"/>
  <c r="I235" i="54"/>
  <c r="J235" i="54"/>
  <c r="K235" i="54"/>
  <c r="L235" i="54"/>
  <c r="M235" i="54"/>
  <c r="N235" i="54"/>
  <c r="O235" i="54"/>
  <c r="F236" i="54"/>
  <c r="G236" i="54"/>
  <c r="H236" i="54"/>
  <c r="I236" i="54"/>
  <c r="J236" i="54"/>
  <c r="K236" i="54"/>
  <c r="L236" i="54"/>
  <c r="M236" i="54"/>
  <c r="N236" i="54"/>
  <c r="O236" i="54"/>
  <c r="F241" i="54"/>
  <c r="G241" i="54"/>
  <c r="H241" i="54"/>
  <c r="I241" i="54"/>
  <c r="J241" i="54"/>
  <c r="K241" i="54"/>
  <c r="L241" i="54"/>
  <c r="M241" i="54"/>
  <c r="N241" i="54"/>
  <c r="O241" i="54"/>
  <c r="E243" i="54"/>
  <c r="F243" i="54"/>
  <c r="G243" i="54"/>
  <c r="H243" i="54"/>
  <c r="I243" i="54"/>
  <c r="J243" i="54"/>
  <c r="K243" i="54"/>
  <c r="L243" i="54"/>
  <c r="M243" i="54"/>
  <c r="N243" i="54"/>
  <c r="O243" i="54"/>
  <c r="D20" i="59"/>
  <c r="D21" i="59"/>
  <c r="D23" i="59"/>
  <c r="C26" i="59"/>
  <c r="D26" i="59"/>
  <c r="C27" i="59"/>
  <c r="D27" i="59"/>
  <c r="D30" i="59"/>
  <c r="D31" i="59"/>
  <c r="D32" i="59"/>
  <c r="D34" i="59"/>
  <c r="D35" i="59"/>
  <c r="D36" i="59"/>
  <c r="D37" i="59"/>
  <c r="D42" i="59"/>
  <c r="D46" i="59"/>
  <c r="D54" i="59"/>
  <c r="E54" i="59"/>
  <c r="F54" i="59"/>
  <c r="G54" i="59"/>
  <c r="H54" i="59"/>
  <c r="I54" i="59"/>
  <c r="J54" i="59"/>
  <c r="K54" i="59"/>
  <c r="L54" i="59"/>
  <c r="M54" i="59"/>
  <c r="D55" i="59"/>
  <c r="E55" i="59"/>
  <c r="F55" i="59"/>
  <c r="G55" i="59"/>
  <c r="H55" i="59"/>
  <c r="I55" i="59"/>
  <c r="J55" i="59"/>
  <c r="K55" i="59"/>
  <c r="L55" i="59"/>
  <c r="M55" i="59"/>
  <c r="D56" i="59"/>
  <c r="E56" i="59"/>
  <c r="F56" i="59"/>
  <c r="G56" i="59"/>
  <c r="H56" i="59"/>
  <c r="I56" i="59"/>
  <c r="J56" i="59"/>
  <c r="K56" i="59"/>
  <c r="L56" i="59"/>
  <c r="M56" i="59"/>
  <c r="D57" i="59"/>
  <c r="E57" i="59"/>
  <c r="F57" i="59"/>
  <c r="G57" i="59"/>
  <c r="H57" i="59"/>
  <c r="I57" i="59"/>
  <c r="J57" i="59"/>
  <c r="K57" i="59"/>
  <c r="L57" i="59"/>
  <c r="M57" i="59"/>
  <c r="D59" i="59"/>
  <c r="E59" i="59"/>
  <c r="F59" i="59"/>
  <c r="G59" i="59"/>
  <c r="H59" i="59"/>
  <c r="I59" i="59"/>
  <c r="J59" i="59"/>
  <c r="K59" i="59"/>
  <c r="L59" i="59"/>
  <c r="M59" i="59"/>
  <c r="D60" i="59"/>
  <c r="E60" i="59"/>
  <c r="F60" i="59"/>
  <c r="G60" i="59"/>
  <c r="H60" i="59"/>
  <c r="I60" i="59"/>
  <c r="J60" i="59"/>
  <c r="K60" i="59"/>
  <c r="L60" i="59"/>
  <c r="M60" i="59"/>
  <c r="D65" i="59"/>
  <c r="E65" i="59"/>
  <c r="F65" i="59"/>
  <c r="G65" i="59"/>
  <c r="H65" i="59"/>
  <c r="I65" i="59"/>
  <c r="J65" i="59"/>
  <c r="K65" i="59"/>
  <c r="L65" i="59"/>
  <c r="M65" i="59"/>
  <c r="C67" i="59"/>
  <c r="D67" i="59"/>
  <c r="E67" i="59"/>
  <c r="F67" i="59"/>
  <c r="G67" i="59"/>
  <c r="H67" i="59"/>
  <c r="I67" i="59"/>
  <c r="J67" i="59"/>
  <c r="K67" i="59"/>
  <c r="L67" i="59"/>
  <c r="M67" i="59"/>
  <c r="D101" i="59"/>
  <c r="E101" i="59"/>
  <c r="F101" i="59"/>
  <c r="G101" i="59"/>
  <c r="H101" i="59"/>
  <c r="I101" i="59"/>
  <c r="J101" i="59"/>
  <c r="K101" i="59"/>
  <c r="L101" i="59"/>
  <c r="M101" i="59"/>
  <c r="D102" i="59"/>
  <c r="E102" i="59"/>
  <c r="F102" i="59"/>
  <c r="G102" i="59"/>
  <c r="H102" i="59"/>
  <c r="I102" i="59"/>
  <c r="J102" i="59"/>
  <c r="K102" i="59"/>
  <c r="L102" i="59"/>
  <c r="M102" i="59"/>
  <c r="D104" i="59"/>
  <c r="E104" i="59"/>
  <c r="F104" i="59"/>
  <c r="G104" i="59"/>
  <c r="H104" i="59"/>
  <c r="I104" i="59"/>
  <c r="J104" i="59"/>
  <c r="K104" i="59"/>
  <c r="L104" i="59"/>
  <c r="M104" i="59"/>
  <c r="D106" i="59"/>
  <c r="E106" i="59"/>
  <c r="F106" i="59"/>
  <c r="G106" i="59"/>
  <c r="H106" i="59"/>
  <c r="I106" i="59"/>
  <c r="J106" i="59"/>
  <c r="K106" i="59"/>
  <c r="L106" i="59"/>
  <c r="M106" i="59"/>
  <c r="D107" i="59"/>
  <c r="E107" i="59"/>
  <c r="F107" i="59"/>
  <c r="G107" i="59"/>
  <c r="H107" i="59"/>
  <c r="I107" i="59"/>
  <c r="J107" i="59"/>
  <c r="K107" i="59"/>
  <c r="L107" i="59"/>
  <c r="M107" i="59"/>
  <c r="D108" i="59"/>
  <c r="E108" i="59"/>
  <c r="F108" i="59"/>
  <c r="G108" i="59"/>
  <c r="H108" i="59"/>
  <c r="I108" i="59"/>
  <c r="J108" i="59"/>
  <c r="K108" i="59"/>
  <c r="L108" i="59"/>
  <c r="M108" i="59"/>
  <c r="D110" i="59"/>
  <c r="E110" i="59"/>
  <c r="F110" i="59"/>
  <c r="G110" i="59"/>
  <c r="H110" i="59"/>
  <c r="I110" i="59"/>
  <c r="J110" i="59"/>
  <c r="K110" i="59"/>
  <c r="L110" i="59"/>
  <c r="M110" i="59"/>
  <c r="D111" i="59"/>
  <c r="E111" i="59"/>
  <c r="F111" i="59"/>
  <c r="G111" i="59"/>
  <c r="H111" i="59"/>
  <c r="I111" i="59"/>
  <c r="J111" i="59"/>
  <c r="K111" i="59"/>
  <c r="L111" i="59"/>
  <c r="M111" i="59"/>
  <c r="C121" i="59"/>
  <c r="D121" i="59"/>
  <c r="E121" i="59"/>
  <c r="F121" i="59"/>
  <c r="G121" i="59"/>
  <c r="H121" i="59"/>
  <c r="I121" i="59"/>
  <c r="J121" i="59"/>
  <c r="K121" i="59"/>
  <c r="L121" i="59"/>
  <c r="M121" i="59"/>
  <c r="C127" i="59"/>
  <c r="D127" i="59"/>
  <c r="E127" i="59"/>
  <c r="F127" i="59"/>
  <c r="G127" i="59"/>
  <c r="H127" i="59"/>
  <c r="I127" i="59"/>
  <c r="J127" i="59"/>
  <c r="K127" i="59"/>
  <c r="L127" i="59"/>
  <c r="M127" i="59"/>
  <c r="C142" i="59"/>
  <c r="D142" i="59"/>
  <c r="E142" i="59"/>
  <c r="F142" i="59"/>
  <c r="G142" i="59"/>
  <c r="H142" i="59"/>
  <c r="I142" i="59"/>
  <c r="J142" i="59"/>
  <c r="K142" i="59"/>
  <c r="L142" i="59"/>
  <c r="M142" i="59"/>
  <c r="R142" i="59"/>
  <c r="R143" i="59"/>
  <c r="R144" i="59"/>
  <c r="C147" i="59"/>
  <c r="D147" i="59"/>
  <c r="E147" i="59"/>
  <c r="F147" i="59"/>
  <c r="G147" i="59"/>
  <c r="H147" i="59"/>
  <c r="I147" i="59"/>
  <c r="J147" i="59"/>
  <c r="K147" i="59"/>
  <c r="L147" i="59"/>
  <c r="M147" i="59"/>
  <c r="C148" i="59"/>
  <c r="D148" i="59"/>
  <c r="E148" i="59"/>
  <c r="F148" i="59"/>
  <c r="G148" i="59"/>
  <c r="H148" i="59"/>
  <c r="I148" i="59"/>
  <c r="J148" i="59"/>
  <c r="K148" i="59"/>
  <c r="L148" i="59"/>
  <c r="M148" i="59"/>
  <c r="C152" i="59"/>
  <c r="D152" i="59"/>
  <c r="E152" i="59"/>
  <c r="F152" i="59"/>
  <c r="G152" i="59"/>
  <c r="H152" i="59"/>
  <c r="I152" i="59"/>
  <c r="J152" i="59"/>
  <c r="K152" i="59"/>
  <c r="L152" i="59"/>
  <c r="M152" i="59"/>
  <c r="C153" i="59"/>
  <c r="D153" i="59"/>
  <c r="E153" i="59"/>
  <c r="F153" i="59"/>
  <c r="G153" i="59"/>
  <c r="H153" i="59"/>
  <c r="I153" i="59"/>
  <c r="J153" i="59"/>
  <c r="K153" i="59"/>
  <c r="L153" i="59"/>
  <c r="M153" i="59"/>
  <c r="C156" i="59"/>
  <c r="D156" i="59"/>
  <c r="E156" i="59"/>
  <c r="F156" i="59"/>
  <c r="G156" i="59"/>
  <c r="H156" i="59"/>
  <c r="I156" i="59"/>
  <c r="J156" i="59"/>
  <c r="K156" i="59"/>
  <c r="L156" i="59"/>
  <c r="M156" i="59"/>
  <c r="D157" i="59"/>
  <c r="E157" i="59"/>
  <c r="F157" i="59"/>
  <c r="G157" i="59"/>
  <c r="H157" i="59"/>
  <c r="I157" i="59"/>
  <c r="J157" i="59"/>
  <c r="K157" i="59"/>
  <c r="L157" i="59"/>
  <c r="M157" i="59"/>
  <c r="C158" i="59"/>
  <c r="D158" i="59"/>
  <c r="E158" i="59"/>
  <c r="F158" i="59"/>
  <c r="G158" i="59"/>
  <c r="H158" i="59"/>
  <c r="I158" i="59"/>
  <c r="J158" i="59"/>
  <c r="K158" i="59"/>
  <c r="L158" i="59"/>
  <c r="M158" i="59"/>
  <c r="C159" i="59"/>
  <c r="D159" i="59"/>
  <c r="E159" i="59"/>
  <c r="F159" i="59"/>
  <c r="G159" i="59"/>
  <c r="H159" i="59"/>
  <c r="I159" i="59"/>
  <c r="J159" i="59"/>
  <c r="K159" i="59"/>
  <c r="L159" i="59"/>
  <c r="M159" i="59"/>
  <c r="C160" i="59"/>
  <c r="D160" i="59"/>
  <c r="E160" i="59"/>
  <c r="F160" i="59"/>
  <c r="G160" i="59"/>
  <c r="H160" i="59"/>
  <c r="I160" i="59"/>
  <c r="J160" i="59"/>
  <c r="K160" i="59"/>
  <c r="L160" i="59"/>
  <c r="M160" i="59"/>
  <c r="D167" i="59"/>
  <c r="E167" i="59"/>
  <c r="F167" i="59"/>
  <c r="G167" i="59"/>
  <c r="H167" i="59"/>
  <c r="I167" i="59"/>
  <c r="J167" i="59"/>
  <c r="K167" i="59"/>
  <c r="L167" i="59"/>
  <c r="M167" i="59"/>
  <c r="D175" i="59"/>
  <c r="E175" i="59"/>
  <c r="F175" i="59"/>
  <c r="G175" i="59"/>
  <c r="H175" i="59"/>
  <c r="I175" i="59"/>
  <c r="J175" i="59"/>
  <c r="K175" i="59"/>
  <c r="L175" i="59"/>
  <c r="M175" i="59"/>
  <c r="D179" i="59"/>
  <c r="E179" i="59"/>
  <c r="F179" i="59"/>
  <c r="G179" i="59"/>
  <c r="H179" i="59"/>
  <c r="I179" i="59"/>
  <c r="J179" i="59"/>
  <c r="K179" i="59"/>
  <c r="L179" i="59"/>
  <c r="M179" i="59"/>
  <c r="D180" i="59"/>
  <c r="E180" i="59"/>
  <c r="F180" i="59"/>
  <c r="G180" i="59"/>
  <c r="H180" i="59"/>
  <c r="I180" i="59"/>
  <c r="J180" i="59"/>
  <c r="K180" i="59"/>
  <c r="L180" i="59"/>
  <c r="M180" i="59"/>
  <c r="D181" i="59"/>
  <c r="E181" i="59"/>
  <c r="F181" i="59"/>
  <c r="G181" i="59"/>
  <c r="H181" i="59"/>
  <c r="I181" i="59"/>
  <c r="J181" i="59"/>
  <c r="K181" i="59"/>
  <c r="L181" i="59"/>
  <c r="M181" i="59"/>
  <c r="C182" i="59"/>
  <c r="D182" i="59"/>
  <c r="E182" i="59"/>
  <c r="F182" i="59"/>
  <c r="G182" i="59"/>
  <c r="H182" i="59"/>
  <c r="I182" i="59"/>
  <c r="J182" i="59"/>
  <c r="K182" i="59"/>
  <c r="L182" i="59"/>
  <c r="M182" i="59"/>
  <c r="C183" i="59"/>
  <c r="D183" i="59"/>
  <c r="E183" i="59"/>
  <c r="F183" i="59"/>
  <c r="G183" i="59"/>
  <c r="H183" i="59"/>
  <c r="I183" i="59"/>
  <c r="J183" i="59"/>
  <c r="K183" i="59"/>
  <c r="L183" i="59"/>
  <c r="M183" i="59"/>
  <c r="C184" i="59"/>
  <c r="D184" i="59"/>
  <c r="E184" i="59"/>
  <c r="F184" i="59"/>
  <c r="G184" i="59"/>
  <c r="H184" i="59"/>
  <c r="I184" i="59"/>
  <c r="J184" i="59"/>
  <c r="K184" i="59"/>
  <c r="L184" i="59"/>
  <c r="M184" i="59"/>
  <c r="C190" i="59"/>
  <c r="D190" i="59"/>
  <c r="E190" i="59"/>
  <c r="F190" i="59"/>
  <c r="G190" i="59"/>
  <c r="H190" i="59"/>
  <c r="I190" i="59"/>
  <c r="J190" i="59"/>
  <c r="K190" i="59"/>
  <c r="L190" i="59"/>
  <c r="M190" i="59"/>
  <c r="D191" i="59"/>
  <c r="E191" i="59"/>
  <c r="F191" i="59"/>
  <c r="G191" i="59"/>
  <c r="H191" i="59"/>
  <c r="I191" i="59"/>
  <c r="J191" i="59"/>
  <c r="K191" i="59"/>
  <c r="L191" i="59"/>
  <c r="M191" i="59"/>
  <c r="C192" i="59"/>
  <c r="D192" i="59"/>
  <c r="E192" i="59"/>
  <c r="F192" i="59"/>
  <c r="G192" i="59"/>
  <c r="H192" i="59"/>
  <c r="I192" i="59"/>
  <c r="J192" i="59"/>
  <c r="K192" i="59"/>
  <c r="L192" i="59"/>
  <c r="M192" i="59"/>
  <c r="C193" i="59"/>
  <c r="D193" i="59"/>
  <c r="E193" i="59"/>
  <c r="F193" i="59"/>
  <c r="G193" i="59"/>
  <c r="H193" i="59"/>
  <c r="I193" i="59"/>
  <c r="J193" i="59"/>
  <c r="K193" i="59"/>
  <c r="L193" i="59"/>
  <c r="M193" i="59"/>
  <c r="E4" i="61"/>
  <c r="F4" i="61"/>
  <c r="G4" i="61"/>
  <c r="H4" i="61"/>
  <c r="I4" i="61"/>
  <c r="J4" i="61"/>
  <c r="K4" i="61"/>
  <c r="L4" i="61"/>
  <c r="M4" i="61"/>
  <c r="N4" i="61"/>
  <c r="E5" i="61"/>
  <c r="F5" i="61"/>
  <c r="G5" i="61"/>
  <c r="H5" i="61"/>
  <c r="I5" i="61"/>
  <c r="J5" i="61"/>
  <c r="K5" i="61"/>
  <c r="L5" i="61"/>
  <c r="M5" i="61"/>
  <c r="N5" i="61"/>
  <c r="E6" i="61"/>
  <c r="F6" i="61"/>
  <c r="G6" i="61"/>
  <c r="H6" i="61"/>
  <c r="I6" i="61"/>
  <c r="J6" i="61"/>
  <c r="K6" i="61"/>
  <c r="L6" i="61"/>
  <c r="M6" i="61"/>
  <c r="N6" i="61"/>
  <c r="E7" i="61"/>
  <c r="F7" i="61"/>
  <c r="G7" i="61"/>
  <c r="H7" i="61"/>
  <c r="I7" i="61"/>
  <c r="J7" i="61"/>
  <c r="K7" i="61"/>
  <c r="L7" i="61"/>
  <c r="M7" i="61"/>
  <c r="N7" i="61"/>
  <c r="E8" i="61"/>
  <c r="F8" i="61"/>
  <c r="G8" i="61"/>
  <c r="H8" i="61"/>
  <c r="I8" i="61"/>
  <c r="J8" i="61"/>
  <c r="K8" i="61"/>
  <c r="L8" i="61"/>
  <c r="M8" i="61"/>
  <c r="N8" i="61"/>
  <c r="E9" i="61"/>
  <c r="F9" i="61"/>
  <c r="G9" i="61"/>
  <c r="H9" i="61"/>
  <c r="I9" i="61"/>
  <c r="J9" i="61"/>
  <c r="K9" i="61"/>
  <c r="L9" i="61"/>
  <c r="M9" i="61"/>
  <c r="N9" i="61"/>
  <c r="E10" i="61"/>
  <c r="F10" i="61"/>
  <c r="G10" i="61"/>
  <c r="H10" i="61"/>
  <c r="I10" i="61"/>
  <c r="J10" i="61"/>
  <c r="K10" i="61"/>
  <c r="L10" i="61"/>
  <c r="M10" i="61"/>
  <c r="N10" i="61"/>
  <c r="E11" i="61"/>
  <c r="F11" i="61"/>
  <c r="G11" i="61"/>
  <c r="H11" i="61"/>
  <c r="I11" i="61"/>
  <c r="J11" i="61"/>
  <c r="K11" i="61"/>
  <c r="L11" i="61"/>
  <c r="M11" i="61"/>
  <c r="N11" i="61"/>
  <c r="E12" i="61"/>
  <c r="F12" i="61"/>
  <c r="G12" i="61"/>
  <c r="H12" i="61"/>
  <c r="I12" i="61"/>
  <c r="J12" i="61"/>
  <c r="K12" i="61"/>
  <c r="L12" i="61"/>
  <c r="M12" i="61"/>
  <c r="N12" i="61"/>
  <c r="E13" i="61"/>
  <c r="F13" i="61"/>
  <c r="G13" i="61"/>
  <c r="H13" i="61"/>
  <c r="I13" i="61"/>
  <c r="J13" i="61"/>
  <c r="K13" i="61"/>
  <c r="L13" i="61"/>
  <c r="M13" i="61"/>
  <c r="N13" i="61"/>
  <c r="E14" i="61"/>
  <c r="F14" i="61"/>
  <c r="G14" i="61"/>
  <c r="H14" i="61"/>
  <c r="I14" i="61"/>
  <c r="J14" i="61"/>
  <c r="K14" i="61"/>
  <c r="L14" i="61"/>
  <c r="M14" i="61"/>
  <c r="N14" i="61"/>
  <c r="E15" i="61"/>
  <c r="F15" i="61"/>
  <c r="G15" i="61"/>
  <c r="H15" i="61"/>
  <c r="I15" i="61"/>
  <c r="J15" i="61"/>
  <c r="K15" i="61"/>
  <c r="L15" i="61"/>
  <c r="M15" i="61"/>
  <c r="N15" i="61"/>
  <c r="E16" i="61"/>
  <c r="F16" i="61"/>
  <c r="G16" i="61"/>
  <c r="H16" i="61"/>
  <c r="I16" i="61"/>
  <c r="J16" i="61"/>
  <c r="K16" i="61"/>
  <c r="L16" i="61"/>
  <c r="M16" i="61"/>
  <c r="N16" i="61"/>
  <c r="E17" i="61"/>
  <c r="F17" i="61"/>
  <c r="G17" i="61"/>
  <c r="H17" i="61"/>
  <c r="I17" i="61"/>
  <c r="J17" i="61"/>
  <c r="K17" i="61"/>
  <c r="L17" i="61"/>
  <c r="M17" i="61"/>
  <c r="N17" i="61"/>
  <c r="E18" i="61"/>
  <c r="F18" i="61"/>
  <c r="G18" i="61"/>
  <c r="H18" i="61"/>
  <c r="I18" i="61"/>
  <c r="J18" i="61"/>
  <c r="K18" i="61"/>
  <c r="L18" i="61"/>
  <c r="M18" i="61"/>
  <c r="N18" i="61"/>
  <c r="E19" i="61"/>
  <c r="F19" i="61"/>
  <c r="G19" i="61"/>
  <c r="H19" i="61"/>
  <c r="I19" i="61"/>
  <c r="J19" i="61"/>
  <c r="K19" i="61"/>
  <c r="L19" i="61"/>
  <c r="M19" i="61"/>
  <c r="N19" i="61"/>
  <c r="E22" i="61"/>
  <c r="F22" i="61"/>
  <c r="G22" i="61"/>
  <c r="H22" i="61"/>
  <c r="I22" i="61"/>
  <c r="J22" i="61"/>
  <c r="K22" i="61"/>
  <c r="L22" i="61"/>
  <c r="M22" i="61"/>
  <c r="N22" i="61"/>
  <c r="E23" i="61"/>
  <c r="F23" i="61"/>
  <c r="G23" i="61"/>
  <c r="H23" i="61"/>
  <c r="I23" i="61"/>
  <c r="J23" i="61"/>
  <c r="K23" i="61"/>
  <c r="L23" i="61"/>
  <c r="M23" i="61"/>
  <c r="N23" i="61"/>
  <c r="D24" i="61"/>
  <c r="C8" i="58"/>
  <c r="C18" i="58"/>
  <c r="C19" i="58"/>
  <c r="C23" i="58"/>
  <c r="D23" i="58"/>
  <c r="E23" i="58"/>
  <c r="F23" i="58"/>
  <c r="G23" i="58"/>
  <c r="C24" i="58"/>
  <c r="E24" i="58"/>
  <c r="F24" i="58"/>
  <c r="G24" i="58"/>
  <c r="C25" i="58"/>
  <c r="E25" i="58"/>
  <c r="F25" i="58"/>
  <c r="G25" i="58"/>
  <c r="C26" i="58"/>
  <c r="E26" i="58"/>
  <c r="F26" i="58"/>
  <c r="G26" i="58"/>
  <c r="C27" i="58"/>
  <c r="E27" i="58"/>
  <c r="F27" i="58"/>
  <c r="G27" i="58"/>
  <c r="C28" i="58"/>
  <c r="E28" i="58"/>
  <c r="F28" i="58"/>
  <c r="G28" i="58"/>
  <c r="C29" i="58"/>
  <c r="E29" i="58"/>
  <c r="F29" i="58"/>
  <c r="G29" i="58"/>
  <c r="C30" i="58"/>
  <c r="E30" i="58"/>
  <c r="F30" i="58"/>
  <c r="G30" i="58"/>
  <c r="C31" i="58"/>
  <c r="E31" i="58"/>
  <c r="F31" i="58"/>
  <c r="G31" i="58"/>
  <c r="C32" i="58"/>
  <c r="E32" i="58"/>
  <c r="F32" i="58"/>
  <c r="G32" i="58"/>
  <c r="C33" i="58"/>
  <c r="E33" i="58"/>
  <c r="F33" i="58"/>
  <c r="G33" i="58"/>
  <c r="C34" i="58"/>
  <c r="E34" i="58"/>
  <c r="F34" i="58"/>
  <c r="G34" i="58"/>
  <c r="C35" i="58"/>
  <c r="E35" i="58"/>
  <c r="F35" i="58"/>
  <c r="G35" i="58"/>
  <c r="C36" i="58"/>
  <c r="E36" i="58"/>
  <c r="F36" i="58"/>
  <c r="G36" i="58"/>
  <c r="C37" i="58"/>
  <c r="E37" i="58"/>
  <c r="F37" i="58"/>
  <c r="G37" i="58"/>
  <c r="C38" i="58"/>
  <c r="E38" i="58"/>
  <c r="F38" i="58"/>
  <c r="G38" i="58"/>
  <c r="C39" i="58"/>
  <c r="E39" i="58"/>
  <c r="F39" i="58"/>
  <c r="G39" i="58"/>
  <c r="C40" i="58"/>
  <c r="E40" i="58"/>
  <c r="F40" i="58"/>
  <c r="G40" i="58"/>
  <c r="C41" i="58"/>
  <c r="E41" i="58"/>
  <c r="F41" i="58"/>
  <c r="G41" i="58"/>
  <c r="C42" i="58"/>
  <c r="E42" i="58"/>
  <c r="F42" i="58"/>
  <c r="G42" i="58"/>
  <c r="C43" i="58"/>
  <c r="E43" i="58"/>
  <c r="F43" i="58"/>
  <c r="G43" i="58"/>
  <c r="C44" i="58"/>
  <c r="E44" i="58"/>
  <c r="F44" i="58"/>
  <c r="G44" i="58"/>
  <c r="C45" i="58"/>
  <c r="E45" i="58"/>
  <c r="F45" i="58"/>
  <c r="G45" i="58"/>
  <c r="C46" i="58"/>
  <c r="E46" i="58"/>
  <c r="F46" i="58"/>
  <c r="G46" i="58"/>
  <c r="C47" i="58"/>
  <c r="E47" i="58"/>
  <c r="F47" i="58"/>
  <c r="G47" i="58"/>
  <c r="C48" i="58"/>
  <c r="E48" i="58"/>
  <c r="F48" i="58"/>
  <c r="G48" i="58"/>
  <c r="C49" i="58"/>
  <c r="E49" i="58"/>
  <c r="F49" i="58"/>
  <c r="G49" i="58"/>
  <c r="C50" i="58"/>
  <c r="E50" i="58"/>
  <c r="F50" i="58"/>
  <c r="G50" i="58"/>
  <c r="C51" i="58"/>
  <c r="E51" i="58"/>
  <c r="F51" i="58"/>
  <c r="G51" i="58"/>
  <c r="C52" i="58"/>
  <c r="E52" i="58"/>
  <c r="F52" i="58"/>
  <c r="G52" i="58"/>
  <c r="C53" i="58"/>
  <c r="E53" i="58"/>
  <c r="F53" i="58"/>
  <c r="G53" i="58"/>
  <c r="C54" i="58"/>
  <c r="E54" i="58"/>
  <c r="F54" i="58"/>
  <c r="G54" i="58"/>
  <c r="C55" i="58"/>
  <c r="E55" i="58"/>
  <c r="F55" i="58"/>
  <c r="G55" i="58"/>
  <c r="C56" i="58"/>
  <c r="E56" i="58"/>
  <c r="F56" i="58"/>
  <c r="G56" i="58"/>
  <c r="C57" i="58"/>
  <c r="E57" i="58"/>
  <c r="F57" i="58"/>
  <c r="G57" i="58"/>
  <c r="C58" i="58"/>
  <c r="E58" i="58"/>
  <c r="F58" i="58"/>
  <c r="G58" i="58"/>
  <c r="C59" i="58"/>
  <c r="E59" i="58"/>
  <c r="F59" i="58"/>
  <c r="G59" i="58"/>
  <c r="C60" i="58"/>
  <c r="E60" i="58"/>
  <c r="F60" i="58"/>
  <c r="G60" i="58"/>
  <c r="C61" i="58"/>
  <c r="E61" i="58"/>
  <c r="F61" i="58"/>
  <c r="G61" i="58"/>
  <c r="C62" i="58"/>
  <c r="E62" i="58"/>
  <c r="F62" i="58"/>
  <c r="G62" i="58"/>
  <c r="C63" i="58"/>
  <c r="E63" i="58"/>
  <c r="F63" i="58"/>
  <c r="G63" i="58"/>
  <c r="C64" i="58"/>
  <c r="E64" i="58"/>
  <c r="F64" i="58"/>
  <c r="G64" i="58"/>
  <c r="C65" i="58"/>
  <c r="E65" i="58"/>
  <c r="F65" i="58"/>
  <c r="G65" i="58"/>
  <c r="C66" i="58"/>
  <c r="E66" i="58"/>
  <c r="F66" i="58"/>
  <c r="G66" i="58"/>
  <c r="C67" i="58"/>
  <c r="E67" i="58"/>
  <c r="F67" i="58"/>
  <c r="G67" i="58"/>
  <c r="C68" i="58"/>
  <c r="E68" i="58"/>
  <c r="F68" i="58"/>
  <c r="G68" i="58"/>
  <c r="C69" i="58"/>
  <c r="E69" i="58"/>
  <c r="F69" i="58"/>
  <c r="G69" i="58"/>
  <c r="C70" i="58"/>
  <c r="E70" i="58"/>
  <c r="F70" i="58"/>
  <c r="G70" i="58"/>
  <c r="C71" i="58"/>
  <c r="E71" i="58"/>
  <c r="F71" i="58"/>
  <c r="G71" i="58"/>
  <c r="C72" i="58"/>
  <c r="E72" i="58"/>
  <c r="F72" i="58"/>
  <c r="G72" i="58"/>
  <c r="C73" i="58"/>
  <c r="E73" i="58"/>
  <c r="F73" i="58"/>
  <c r="G73" i="58"/>
  <c r="C74" i="58"/>
  <c r="E74" i="58"/>
  <c r="F74" i="58"/>
  <c r="G74" i="58"/>
  <c r="C75" i="58"/>
  <c r="E75" i="58"/>
  <c r="F75" i="58"/>
  <c r="G75" i="58"/>
  <c r="C76" i="58"/>
  <c r="E76" i="58"/>
  <c r="F76" i="58"/>
  <c r="G76" i="58"/>
  <c r="C77" i="58"/>
  <c r="E77" i="58"/>
  <c r="F77" i="58"/>
  <c r="G77" i="58"/>
  <c r="C78" i="58"/>
  <c r="E78" i="58"/>
  <c r="F78" i="58"/>
  <c r="G78" i="58"/>
  <c r="C79" i="58"/>
  <c r="E79" i="58"/>
  <c r="F79" i="58"/>
  <c r="G79" i="58"/>
  <c r="C80" i="58"/>
  <c r="E80" i="58"/>
  <c r="F80" i="58"/>
  <c r="G80" i="58"/>
  <c r="C81" i="58"/>
  <c r="E81" i="58"/>
  <c r="F81" i="58"/>
  <c r="G81" i="58"/>
  <c r="C82" i="58"/>
  <c r="E82" i="58"/>
  <c r="F82" i="58"/>
  <c r="G82" i="58"/>
  <c r="C83" i="58"/>
  <c r="E83" i="58"/>
  <c r="F83" i="58"/>
  <c r="G83" i="58"/>
  <c r="C84" i="58"/>
  <c r="E84" i="58"/>
  <c r="F84" i="58"/>
  <c r="G84" i="58"/>
  <c r="C85" i="58"/>
  <c r="E85" i="58"/>
  <c r="F85" i="58"/>
  <c r="G85" i="58"/>
  <c r="C86" i="58"/>
  <c r="E86" i="58"/>
  <c r="F86" i="58"/>
  <c r="G86" i="58"/>
  <c r="C87" i="58"/>
  <c r="E87" i="58"/>
  <c r="F87" i="58"/>
  <c r="G87" i="58"/>
  <c r="C88" i="58"/>
  <c r="E88" i="58"/>
  <c r="F88" i="58"/>
  <c r="G88" i="58"/>
  <c r="C89" i="58"/>
  <c r="E89" i="58"/>
  <c r="F89" i="58"/>
  <c r="G89" i="58"/>
  <c r="C90" i="58"/>
  <c r="E90" i="58"/>
  <c r="F90" i="58"/>
  <c r="G90" i="58"/>
  <c r="C91" i="58"/>
  <c r="E91" i="58"/>
  <c r="F91" i="58"/>
  <c r="G91" i="58"/>
  <c r="C92" i="58"/>
  <c r="E92" i="58"/>
  <c r="F92" i="58"/>
  <c r="G92" i="58"/>
  <c r="C93" i="58"/>
  <c r="E93" i="58"/>
  <c r="F93" i="58"/>
  <c r="G93" i="58"/>
  <c r="C94" i="58"/>
  <c r="E94" i="58"/>
  <c r="F94" i="58"/>
  <c r="G94" i="58"/>
  <c r="C95" i="58"/>
  <c r="E95" i="58"/>
  <c r="F95" i="58"/>
  <c r="G95" i="58"/>
  <c r="C96" i="58"/>
  <c r="E96" i="58"/>
  <c r="F96" i="58"/>
  <c r="G96" i="58"/>
  <c r="C97" i="58"/>
  <c r="E97" i="58"/>
  <c r="F97" i="58"/>
  <c r="G97" i="58"/>
  <c r="C98" i="58"/>
  <c r="E98" i="58"/>
  <c r="F98" i="58"/>
  <c r="G98" i="58"/>
  <c r="C99" i="58"/>
  <c r="E99" i="58"/>
  <c r="F99" i="58"/>
  <c r="G99" i="58"/>
  <c r="C100" i="58"/>
  <c r="E100" i="58"/>
  <c r="F100" i="58"/>
  <c r="G100" i="58"/>
  <c r="C101" i="58"/>
  <c r="E101" i="58"/>
  <c r="F101" i="58"/>
  <c r="G101" i="58"/>
  <c r="C102" i="58"/>
  <c r="E102" i="58"/>
  <c r="F102" i="58"/>
  <c r="G102" i="58"/>
  <c r="C103" i="58"/>
  <c r="E103" i="58"/>
  <c r="F103" i="58"/>
  <c r="G103" i="58"/>
  <c r="C104" i="58"/>
  <c r="E104" i="58"/>
  <c r="F104" i="58"/>
  <c r="G104" i="58"/>
  <c r="C105" i="58"/>
  <c r="E105" i="58"/>
  <c r="F105" i="58"/>
  <c r="G105" i="58"/>
  <c r="C106" i="58"/>
  <c r="E106" i="58"/>
  <c r="F106" i="58"/>
  <c r="G106" i="58"/>
  <c r="C107" i="58"/>
  <c r="E107" i="58"/>
  <c r="F107" i="58"/>
  <c r="G107" i="58"/>
  <c r="C108" i="58"/>
  <c r="E108" i="58"/>
  <c r="F108" i="58"/>
  <c r="G108" i="58"/>
  <c r="C109" i="58"/>
  <c r="E109" i="58"/>
  <c r="F109" i="58"/>
  <c r="G109" i="58"/>
  <c r="C110" i="58"/>
  <c r="E110" i="58"/>
  <c r="F110" i="58"/>
  <c r="G110" i="58"/>
  <c r="C111" i="58"/>
  <c r="E111" i="58"/>
  <c r="F111" i="58"/>
  <c r="G111" i="58"/>
  <c r="C112" i="58"/>
  <c r="E112" i="58"/>
  <c r="F112" i="58"/>
  <c r="G112" i="58"/>
  <c r="C113" i="58"/>
  <c r="E113" i="58"/>
  <c r="F113" i="58"/>
  <c r="G113" i="58"/>
  <c r="C114" i="58"/>
  <c r="E114" i="58"/>
  <c r="F114" i="58"/>
  <c r="G114" i="58"/>
  <c r="C115" i="58"/>
  <c r="E115" i="58"/>
  <c r="F115" i="58"/>
  <c r="G115" i="58"/>
  <c r="C116" i="58"/>
  <c r="E116" i="58"/>
  <c r="F116" i="58"/>
  <c r="G116" i="58"/>
  <c r="C117" i="58"/>
  <c r="E117" i="58"/>
  <c r="F117" i="58"/>
  <c r="G117" i="58"/>
  <c r="C118" i="58"/>
  <c r="E118" i="58"/>
  <c r="F118" i="58"/>
  <c r="G118" i="58"/>
  <c r="C119" i="58"/>
  <c r="E119" i="58"/>
  <c r="F119" i="58"/>
  <c r="G119" i="58"/>
  <c r="C120" i="58"/>
  <c r="E120" i="58"/>
  <c r="F120" i="58"/>
  <c r="G120" i="58"/>
  <c r="C121" i="58"/>
  <c r="E121" i="58"/>
  <c r="F121" i="58"/>
  <c r="G121" i="58"/>
  <c r="C122" i="58"/>
  <c r="E122" i="58"/>
  <c r="F122" i="58"/>
  <c r="G122" i="58"/>
  <c r="C123" i="58"/>
  <c r="E123" i="58"/>
  <c r="F123" i="58"/>
  <c r="G123" i="58"/>
  <c r="C124" i="58"/>
  <c r="E124" i="58"/>
  <c r="F124" i="58"/>
  <c r="G124" i="58"/>
  <c r="C125" i="58"/>
  <c r="E125" i="58"/>
  <c r="F125" i="58"/>
  <c r="G125" i="58"/>
  <c r="C126" i="58"/>
  <c r="E126" i="58"/>
  <c r="F126" i="58"/>
  <c r="G126" i="58"/>
  <c r="C127" i="58"/>
  <c r="E127" i="58"/>
  <c r="F127" i="58"/>
  <c r="G127" i="58"/>
  <c r="C128" i="58"/>
  <c r="E128" i="58"/>
  <c r="F128" i="58"/>
  <c r="G128" i="58"/>
  <c r="C129" i="58"/>
  <c r="E129" i="58"/>
  <c r="F129" i="58"/>
  <c r="G129" i="58"/>
  <c r="C130" i="58"/>
  <c r="E130" i="58"/>
  <c r="F130" i="58"/>
  <c r="G130" i="58"/>
  <c r="C131" i="58"/>
  <c r="E131" i="58"/>
  <c r="F131" i="58"/>
  <c r="G131" i="58"/>
  <c r="C132" i="58"/>
  <c r="E132" i="58"/>
  <c r="F132" i="58"/>
  <c r="G132" i="58"/>
  <c r="C133" i="58"/>
  <c r="E133" i="58"/>
  <c r="F133" i="58"/>
  <c r="G133" i="58"/>
  <c r="C134" i="58"/>
  <c r="E134" i="58"/>
  <c r="F134" i="58"/>
  <c r="G134" i="58"/>
  <c r="C135" i="58"/>
  <c r="E135" i="58"/>
  <c r="F135" i="58"/>
  <c r="G135" i="58"/>
  <c r="C136" i="58"/>
  <c r="E136" i="58"/>
  <c r="F136" i="58"/>
  <c r="G136" i="58"/>
  <c r="C137" i="58"/>
  <c r="E137" i="58"/>
  <c r="F137" i="58"/>
  <c r="G137" i="58"/>
  <c r="C138" i="58"/>
  <c r="E138" i="58"/>
  <c r="F138" i="58"/>
  <c r="G138" i="58"/>
  <c r="C139" i="58"/>
  <c r="E139" i="58"/>
  <c r="F139" i="58"/>
  <c r="G139" i="58"/>
  <c r="C140" i="58"/>
  <c r="E140" i="58"/>
  <c r="F140" i="58"/>
  <c r="G140" i="58"/>
  <c r="C141" i="58"/>
  <c r="E141" i="58"/>
  <c r="F141" i="58"/>
  <c r="G141" i="58"/>
  <c r="C142" i="58"/>
  <c r="E142" i="58"/>
  <c r="F142" i="58"/>
  <c r="G142" i="58"/>
  <c r="D143" i="58"/>
  <c r="E143" i="58"/>
  <c r="F143" i="58"/>
</calcChain>
</file>

<file path=xl/sharedStrings.xml><?xml version="1.0" encoding="utf-8"?>
<sst xmlns="http://schemas.openxmlformats.org/spreadsheetml/2006/main" count="823" uniqueCount="380">
  <si>
    <t>Fixed Assets</t>
  </si>
  <si>
    <t>Gross Profit</t>
  </si>
  <si>
    <t>Balance Sheet</t>
  </si>
  <si>
    <t>TOTAL ASSETS</t>
  </si>
  <si>
    <t>Description</t>
  </si>
  <si>
    <t>Total</t>
  </si>
  <si>
    <t>SMEDA</t>
  </si>
  <si>
    <t>Quantity / Area</t>
  </si>
  <si>
    <t>Cost / Rate</t>
  </si>
  <si>
    <t>Amount / Other</t>
  </si>
  <si>
    <t>Debt</t>
  </si>
  <si>
    <t>Project Loan</t>
  </si>
  <si>
    <t>Working Capital Loan</t>
  </si>
  <si>
    <t>Equity</t>
  </si>
  <si>
    <t>Machinery &amp; equipment</t>
  </si>
  <si>
    <t>Office equipment</t>
  </si>
  <si>
    <t>Furniture &amp; fixtures</t>
  </si>
  <si>
    <t>Office vehicles</t>
  </si>
  <si>
    <t>Equipment spare part inventory</t>
  </si>
  <si>
    <t>these many months production requirement</t>
  </si>
  <si>
    <t>Raw material inventory</t>
  </si>
  <si>
    <t>Finished goods inventory</t>
  </si>
  <si>
    <t>Sale price growth rate</t>
  </si>
  <si>
    <t>Maximum capacity utilization</t>
  </si>
  <si>
    <t>Operating costs 2 (machinery maintenance)</t>
  </si>
  <si>
    <t>Travelling expense</t>
  </si>
  <si>
    <t>Office vehicles running expense</t>
  </si>
  <si>
    <t>Promotional expense</t>
  </si>
  <si>
    <t>Professional fees (legal, audit, consultants, etc.)</t>
  </si>
  <si>
    <t>Land</t>
  </si>
  <si>
    <t>Accounts receivable cycle (in days)</t>
  </si>
  <si>
    <t>Accounts payable cycle (in days)</t>
  </si>
  <si>
    <t>Wage growth rate</t>
  </si>
  <si>
    <t xml:space="preserve">Cash on hand </t>
  </si>
  <si>
    <t>Cash required for working capital needs</t>
  </si>
  <si>
    <t>Starting cash</t>
  </si>
  <si>
    <t>Calculations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</si>
  <si>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</si>
  <si>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</si>
  <si>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</si>
  <si>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</si>
  <si>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</si>
  <si>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</si>
  <si>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</si>
  <si>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</si>
  <si>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</si>
  <si>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</si>
  <si>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</si>
  <si>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Cumulative sale price growth rate</t>
  </si>
  <si>
    <t>COGS growth rate</t>
  </si>
  <si>
    <t>Cumulative COGS growth rate</t>
  </si>
  <si>
    <t>Cumulative wage growth rate</t>
  </si>
  <si>
    <t>Building rent growth rate</t>
  </si>
  <si>
    <t>Cumulative</t>
  </si>
  <si>
    <t>Project Costs</t>
  </si>
  <si>
    <t>Year</t>
  </si>
  <si>
    <t>Building/Infrastructure</t>
  </si>
  <si>
    <t>Pre-operating costs</t>
  </si>
  <si>
    <t>Legal, Licensing, and Training costs</t>
  </si>
  <si>
    <t>Total Capital Costs</t>
  </si>
  <si>
    <t>Upfront building rental</t>
  </si>
  <si>
    <t>Cash</t>
  </si>
  <si>
    <t>Total Working Capital</t>
  </si>
  <si>
    <t>Financing</t>
  </si>
  <si>
    <t>Revenue Generation</t>
  </si>
  <si>
    <t>Production capacity (units)</t>
  </si>
  <si>
    <t>Starting capacity utilization</t>
  </si>
  <si>
    <t>Capacity utilization growth rate</t>
  </si>
  <si>
    <t>Capacity utilization for the year</t>
  </si>
  <si>
    <t>Production per year</t>
  </si>
  <si>
    <t>Production quantity sold</t>
  </si>
  <si>
    <t>Production quantity in finished goods inventory</t>
  </si>
  <si>
    <t>Revenue</t>
  </si>
  <si>
    <t>Income Statement</t>
  </si>
  <si>
    <t>Cost of sales</t>
  </si>
  <si>
    <t>Cost of goods sold 1</t>
  </si>
  <si>
    <t>Cost of goods sold 2</t>
  </si>
  <si>
    <t>Operation costs 1 (direct labor)</t>
  </si>
  <si>
    <t>Total cost of sales</t>
  </si>
  <si>
    <t>General administration &amp; selling expenses</t>
  </si>
  <si>
    <t>Administration expense</t>
  </si>
  <si>
    <t>Building rental expense</t>
  </si>
  <si>
    <t>Electricity expense</t>
  </si>
  <si>
    <t>Water expense</t>
  </si>
  <si>
    <t>Gas expense</t>
  </si>
  <si>
    <t>Subtotal</t>
  </si>
  <si>
    <t>Operating Income</t>
  </si>
  <si>
    <t>Earnings Before Interest &amp; Taxes</t>
  </si>
  <si>
    <t>Earnings Before Tax</t>
  </si>
  <si>
    <t>Tax</t>
  </si>
  <si>
    <t>NET PROFIT/(LOSS) AFTER TAX</t>
  </si>
  <si>
    <t>Balance brought forward</t>
  </si>
  <si>
    <t>Assets</t>
  </si>
  <si>
    <t>Current assets</t>
  </si>
  <si>
    <t>Cash &amp; Bank</t>
  </si>
  <si>
    <t>Accounts receivable</t>
  </si>
  <si>
    <t>Pre-paid building rent</t>
  </si>
  <si>
    <t>Total Current Assets</t>
  </si>
  <si>
    <t>Fixed assets</t>
  </si>
  <si>
    <t>Total Fixed Assets</t>
  </si>
  <si>
    <t>Intangible assets</t>
  </si>
  <si>
    <t>Pre-operation costs</t>
  </si>
  <si>
    <t>Legal, licensing, &amp; training costs</t>
  </si>
  <si>
    <t>Total Intangible Assets</t>
  </si>
  <si>
    <t>Liabilities &amp; Shareholders' Equity</t>
  </si>
  <si>
    <t>Current liabilities</t>
  </si>
  <si>
    <t>Accounts payable</t>
  </si>
  <si>
    <t>Other liabilities</t>
  </si>
  <si>
    <t>Total Current Liabilities</t>
  </si>
  <si>
    <t>Total Long Term Liabilities</t>
  </si>
  <si>
    <t>Shareholders' equity</t>
  </si>
  <si>
    <t>Paid-up capital</t>
  </si>
  <si>
    <t>Retained earnings</t>
  </si>
  <si>
    <t>Total Equity</t>
  </si>
  <si>
    <t>TOTAL CAPITAL AND LIABILITIES</t>
  </si>
  <si>
    <t>Cash Flow Statement</t>
  </si>
  <si>
    <t>Operating activities</t>
  </si>
  <si>
    <t>Net profit</t>
  </si>
  <si>
    <t>Equipment inventory</t>
  </si>
  <si>
    <t>Cash provided by operations</t>
  </si>
  <si>
    <t>Financing activities</t>
  </si>
  <si>
    <t>Issuance of shares</t>
  </si>
  <si>
    <t>Cash provided by / (used for) financing activities</t>
  </si>
  <si>
    <t>Investing activities</t>
  </si>
  <si>
    <t>Capital expenditure</t>
  </si>
  <si>
    <t>Cash (used for) / provided by investing activities</t>
  </si>
  <si>
    <t>NET CASH</t>
  </si>
  <si>
    <t>Cash balance brought forward</t>
  </si>
  <si>
    <t>Cash carried forward</t>
  </si>
  <si>
    <t>Net Cash</t>
  </si>
  <si>
    <t>Total investor cash outflow</t>
  </si>
  <si>
    <t>Outstanding long term liabilities</t>
  </si>
  <si>
    <t>Add: working capital</t>
  </si>
  <si>
    <t>Total salvage value</t>
  </si>
  <si>
    <t>Net cash flow to investor</t>
  </si>
  <si>
    <t>Payback calculation</t>
  </si>
  <si>
    <t>Accumulated cash flow</t>
  </si>
  <si>
    <t>Payback</t>
  </si>
  <si>
    <t>IRR</t>
  </si>
  <si>
    <t>MIRR</t>
  </si>
  <si>
    <t>NPV</t>
  </si>
  <si>
    <t>PAYBACK (yr.)</t>
  </si>
  <si>
    <t>Project IRR Calculation</t>
  </si>
  <si>
    <t>Add: debt interest * (1-T)</t>
  </si>
  <si>
    <t>Change in long term debt</t>
  </si>
  <si>
    <t>Ratio Analysis</t>
  </si>
  <si>
    <t>Profitability ratios</t>
  </si>
  <si>
    <t>Profit margin on sales</t>
  </si>
  <si>
    <t>ROE</t>
  </si>
  <si>
    <t>Liquidity ratios</t>
  </si>
  <si>
    <t>Current ratio</t>
  </si>
  <si>
    <t>Quick ratio</t>
  </si>
  <si>
    <t>Asset management ratios</t>
  </si>
  <si>
    <t>Inventory turnover ratio</t>
  </si>
  <si>
    <t>Days sales outstanding</t>
  </si>
  <si>
    <t>Fixed assets turnover ratio</t>
  </si>
  <si>
    <t>Total assets turnover ratio</t>
  </si>
  <si>
    <t>Debt management ratios</t>
  </si>
  <si>
    <t>Debt ratio</t>
  </si>
  <si>
    <t>Cost of goods sold 3</t>
  </si>
  <si>
    <t>Depreciation</t>
  </si>
  <si>
    <t>Operations Manager</t>
  </si>
  <si>
    <t>Office Boy</t>
  </si>
  <si>
    <t>Guard</t>
  </si>
  <si>
    <t>Computer Operator</t>
  </si>
  <si>
    <t>Marketing Manager</t>
  </si>
  <si>
    <t>Accounts &amp; Finance Manager</t>
  </si>
  <si>
    <t>Production Incharge</t>
  </si>
  <si>
    <t>Rate</t>
  </si>
  <si>
    <t>Workers</t>
  </si>
  <si>
    <t>Sale price per unit product 1</t>
  </si>
  <si>
    <t>Built/Purchased/Owned=1, Rented=2</t>
  </si>
  <si>
    <t>Total Amortization</t>
  </si>
  <si>
    <t>Total Depreciation</t>
  </si>
  <si>
    <t>Note:</t>
  </si>
  <si>
    <t>This section will provide you with indicative figures of a possible loan repayment schedule. It is, however, strongly advised, that the user receives an official repayment schedule from the loan sanctioning bank.</t>
  </si>
  <si>
    <t>Entries in this template that are marked in red, indicate manual entries, i.e. are changeable. The user may change these numbers as per requirement.</t>
  </si>
  <si>
    <t>Entries in this template that are marked in black indicate use of formulae. Please avoid tempering with formulae based entries.</t>
  </si>
  <si>
    <t>Your Requirements</t>
  </si>
  <si>
    <t>Loan Amount</t>
  </si>
  <si>
    <t>Mark-up per Year</t>
  </si>
  <si>
    <t xml:space="preserve">Yes </t>
  </si>
  <si>
    <t>Loan Tenure (Years)</t>
  </si>
  <si>
    <t>No</t>
  </si>
  <si>
    <t>Payment Type (Select one)</t>
  </si>
  <si>
    <t>Monthly</t>
  </si>
  <si>
    <t>Grace Period 1 Year
(Select one)</t>
  </si>
  <si>
    <t>Quarterly</t>
  </si>
  <si>
    <t>Bi-annually</t>
  </si>
  <si>
    <t>Loan Overview</t>
  </si>
  <si>
    <t>Annually</t>
  </si>
  <si>
    <t>Grace Period (Instalments)</t>
  </si>
  <si>
    <t>Payments per year</t>
  </si>
  <si>
    <t>Number of Payments</t>
  </si>
  <si>
    <t>Total Interest Paid</t>
  </si>
  <si>
    <t>Total Loan Amount Repaid</t>
  </si>
  <si>
    <t>Loan Schedule</t>
  </si>
  <si>
    <t>Instalment</t>
  </si>
  <si>
    <t>Opening Balance</t>
  </si>
  <si>
    <t>Principal</t>
  </si>
  <si>
    <t>Interest</t>
  </si>
  <si>
    <t>Closing Balance</t>
  </si>
  <si>
    <t>No. of years</t>
  </si>
  <si>
    <t>Operating Activities</t>
  </si>
  <si>
    <t>Financing Activities</t>
  </si>
  <si>
    <t>Investing Activities</t>
  </si>
  <si>
    <t>Instructions</t>
  </si>
  <si>
    <t>ہدایات</t>
  </si>
  <si>
    <t>NOTE:</t>
  </si>
  <si>
    <t>Taxes</t>
  </si>
  <si>
    <t>Income Slabs</t>
  </si>
  <si>
    <t>Fixed Tax</t>
  </si>
  <si>
    <t>Taxable Income</t>
  </si>
  <si>
    <t>Profit Margin on Sales</t>
  </si>
  <si>
    <t>Asset Management Ratios</t>
  </si>
  <si>
    <t>Debt Management Ratios</t>
  </si>
  <si>
    <t>Profitability Ratios</t>
  </si>
  <si>
    <t>Liquidity Ratios</t>
  </si>
  <si>
    <t>Inventory turnover ratio (days)</t>
  </si>
  <si>
    <t>Days sales outstanding (days)</t>
  </si>
  <si>
    <t>Fixed assets turnover ratio (days)</t>
  </si>
  <si>
    <t>Total assets turnover ratio (days)</t>
  </si>
  <si>
    <t>Employee</t>
  </si>
  <si>
    <t>Capital Investment</t>
  </si>
  <si>
    <t>Working Capital</t>
  </si>
  <si>
    <t>Upfront building rent</t>
  </si>
  <si>
    <t>Total Investment</t>
  </si>
  <si>
    <t>Initial Financing</t>
  </si>
  <si>
    <t>Project</t>
  </si>
  <si>
    <t>Internal Rate of Return (IRR)</t>
  </si>
  <si>
    <t>Net Present Value (NPV)</t>
  </si>
  <si>
    <t>Payback Period (years)</t>
  </si>
  <si>
    <t>Project Viability/Return</t>
  </si>
  <si>
    <t>Return on Investment (ROI) Average</t>
  </si>
  <si>
    <t>Total Cost of Sales</t>
  </si>
  <si>
    <t>Sale Price per Unit</t>
  </si>
  <si>
    <t>Fixed Cost</t>
  </si>
  <si>
    <t>Variable cost per unit</t>
  </si>
  <si>
    <t>Contribution Margin per Unit</t>
  </si>
  <si>
    <t>Contribution Margin Ratio</t>
  </si>
  <si>
    <t>Break Even Point</t>
  </si>
  <si>
    <t>Total Assets</t>
  </si>
  <si>
    <t>Total Laibilities</t>
  </si>
  <si>
    <t>Total Depreciation and Amortization</t>
  </si>
  <si>
    <t>Depreciation &amp; Amortization expense</t>
  </si>
  <si>
    <t>Add: depreciation and amortization expense</t>
  </si>
  <si>
    <t>Weighted Avg. Cost of Capital (WACC)</t>
  </si>
  <si>
    <t>Average Tax Rate</t>
  </si>
  <si>
    <t>Required Rate of Return on Equity</t>
  </si>
  <si>
    <t>Legal, licensing, and pre-training costs</t>
  </si>
  <si>
    <t>Legal, licensing, &amp; pre-training costs</t>
  </si>
  <si>
    <t>Depreciation and amortization expense</t>
  </si>
  <si>
    <t>Project Loan - principal repayment</t>
  </si>
  <si>
    <t>Working Capital Loan - principal repayment</t>
  </si>
  <si>
    <t>Additions to Working Capital Loan</t>
  </si>
  <si>
    <t>Salvage Value</t>
  </si>
  <si>
    <t>Opening Book Value</t>
  </si>
  <si>
    <t>Ending Book Value</t>
  </si>
  <si>
    <t>Intangible Assets</t>
  </si>
  <si>
    <t>Interest on Bank Overdraft</t>
  </si>
  <si>
    <t>Bank Overdraft</t>
  </si>
  <si>
    <t>Bank overdraft repayment</t>
  </si>
  <si>
    <t>%</t>
  </si>
  <si>
    <t>Break Even Point Units per Month</t>
  </si>
  <si>
    <t>NET CASH (available for appropriation)</t>
  </si>
  <si>
    <t>Balance Carry Forward to Retained Earnings</t>
  </si>
  <si>
    <t>Change in Bank Overdraft</t>
  </si>
  <si>
    <t xml:space="preserve"> </t>
  </si>
  <si>
    <t>Rates &amp; Assumptions</t>
  </si>
  <si>
    <t>Machinery maintenance cost</t>
  </si>
  <si>
    <t>Input Sheet: Financial Assumptions</t>
  </si>
  <si>
    <t>Working Capital Loan: Details</t>
  </si>
  <si>
    <t xml:space="preserve">Annual Markup rate offered by Bank </t>
  </si>
  <si>
    <t>Markup rate</t>
  </si>
  <si>
    <t>Input Sheet: Capital Investment Assumptions</t>
  </si>
  <si>
    <t>Land cost</t>
  </si>
  <si>
    <t>Civil works / Building</t>
  </si>
  <si>
    <t>Total: Fixed Assets</t>
  </si>
  <si>
    <t>Inventory</t>
  </si>
  <si>
    <t>Rented Land / Building</t>
  </si>
  <si>
    <t>Input Sheet: Revenue Assumptions</t>
  </si>
  <si>
    <t>Production capacity utilization</t>
  </si>
  <si>
    <t>Minimum = 5%, Maximum = 10%</t>
  </si>
  <si>
    <t>Production capacity utilization growth rate</t>
  </si>
  <si>
    <t>Not more than 95%</t>
  </si>
  <si>
    <t>Input Sheet: Expense Assumptions</t>
  </si>
  <si>
    <t>Minimum = 60%, Maximum = 75%</t>
  </si>
  <si>
    <t>Rs. per month</t>
  </si>
  <si>
    <t>Input Sheet: Human Resource Assumptions</t>
  </si>
  <si>
    <t>Rs. per person per month</t>
  </si>
  <si>
    <t>No. of persons</t>
  </si>
  <si>
    <t>Minimum cash</t>
  </si>
  <si>
    <t xml:space="preserve">      </t>
  </si>
  <si>
    <t>Units per day</t>
  </si>
  <si>
    <t>For Built / Purchased: use one time cost
For Rent: use per month rent expense</t>
  </si>
  <si>
    <t>Sale price per unit</t>
  </si>
  <si>
    <t>Rs. per unit</t>
  </si>
  <si>
    <t>Cost of Goods Sold (COGS) 1</t>
  </si>
  <si>
    <t>Cost of Goods Sold (COGS) 2</t>
  </si>
  <si>
    <t>Cost of Goods Sold (COGS) 3</t>
  </si>
  <si>
    <t>Office vehicles fuel and maintenance expense</t>
  </si>
  <si>
    <t>CEO / Owner</t>
  </si>
  <si>
    <t>Working capital loan</t>
  </si>
  <si>
    <t>% age of fixed investment to be financed through loan</t>
  </si>
  <si>
    <t>% age of working capital to be financed through loan</t>
  </si>
  <si>
    <t>Long Term Loan: Details</t>
  </si>
  <si>
    <t xml:space="preserve">Annual markup offered by Bank </t>
  </si>
  <si>
    <t>Debt period (years)</t>
  </si>
  <si>
    <t>Tangible Fixed Assets</t>
  </si>
  <si>
    <t>Depreciation Schedule</t>
  </si>
  <si>
    <t>Ammortization</t>
  </si>
  <si>
    <t>Amortization</t>
  </si>
  <si>
    <t>Communications expense (phone, internet, etc.)</t>
  </si>
  <si>
    <t>Office expenses (stationary, janitorial, etc.)</t>
  </si>
  <si>
    <t>Interest expense on Project Loan</t>
  </si>
  <si>
    <t>Interest expense on Working Capital Loan</t>
  </si>
  <si>
    <t>Tax Calculation</t>
  </si>
  <si>
    <t>Building rent per month</t>
  </si>
  <si>
    <t>Direct labor expense</t>
  </si>
  <si>
    <t>Indirect labor expense</t>
  </si>
  <si>
    <t>Machinery maintenance expense</t>
  </si>
  <si>
    <t>Direct Labor</t>
  </si>
  <si>
    <t>Indirect Labor</t>
  </si>
  <si>
    <t>Inflation Rate</t>
  </si>
  <si>
    <t>Cumulative inflation growth rate</t>
  </si>
  <si>
    <t>ROA</t>
  </si>
  <si>
    <t>ROI</t>
  </si>
  <si>
    <t>Return on Assets (ROA) Average</t>
  </si>
  <si>
    <t>Return on Equity (ROE) Average</t>
  </si>
  <si>
    <t>Other Income</t>
  </si>
  <si>
    <t>Building:
  Purchased = 1
  Rented = 2</t>
  </si>
  <si>
    <t>Interest/Mark-up on Cash at Bank</t>
  </si>
  <si>
    <t>CASH CARRIED FORWARD</t>
  </si>
  <si>
    <t>Dividend on Cash</t>
  </si>
  <si>
    <t>تمام تبدیلیاں "ان پٹ شیٹ" پر کرنی ہیں۔</t>
  </si>
  <si>
    <t>نوٹ: اگر آپ کو اضافی حساب کتاب کرنے کی ضرورت ہے، تو اسے علیحدہ نئی شیٹ پر کریں اور پھر ان پٹ شیٹ پر متعلقہ فیلڈ میں رقم ڈالیں۔</t>
  </si>
  <si>
    <t>Maximum production / Sale quantity</t>
  </si>
  <si>
    <t>Rs. per unit (Raw Material / Inventory Cost)</t>
  </si>
  <si>
    <t>Days available before paying cash / Market Credit Cycle (Payable)</t>
  </si>
  <si>
    <t>Annual Markup rate offered by Bank on your cash deposit</t>
  </si>
  <si>
    <t>Communication expense</t>
  </si>
  <si>
    <t>Total: Direct Labor</t>
  </si>
  <si>
    <t>Total: Indirect Labor</t>
  </si>
  <si>
    <t>Input Sheet: Cash flow Assumptions</t>
  </si>
  <si>
    <t>Days available before receiving cash / Market Credit Cycle (Receivables)</t>
  </si>
  <si>
    <t>Office expenses (stationary, entertainment, maintenance, janitorial services, etc.)</t>
  </si>
  <si>
    <t>Office expenses (stationary, janitorial, maintenance etc.)</t>
  </si>
  <si>
    <t>Long term loan (purchase of fixed assets etc.)</t>
  </si>
  <si>
    <t>Drawings from profit in terms of Cash</t>
  </si>
  <si>
    <t>Drawing from Profit in terms of Cash</t>
  </si>
  <si>
    <t>% age of cash</t>
  </si>
  <si>
    <t>Financial Analysis: Summary</t>
  </si>
  <si>
    <t>Financial Analysis: Ratio Analysis</t>
  </si>
  <si>
    <t>Financial Analysis: Income Statement</t>
  </si>
  <si>
    <t>Financial Analysis: Balance Sheet</t>
  </si>
  <si>
    <t>Financial Analysis: Cash Flow Statement</t>
  </si>
  <si>
    <t>Days operational per year</t>
  </si>
  <si>
    <t>Name of Project: ABC Private Limited</t>
  </si>
  <si>
    <t>Only change values shown in 'Red Color'.</t>
  </si>
  <si>
    <t>Change vaues shown in 'Blue Color', only if required.</t>
  </si>
  <si>
    <t>Changes to be made in 'Input Sheet'.</t>
  </si>
  <si>
    <t>Results available in 'Financial Analysis' sheet.</t>
  </si>
  <si>
    <t>Note: Please do extra calculations, if required, in a separate sheet of the file.</t>
  </si>
  <si>
    <t>اگر ضرورت ہو تو صرف تب 'نیلے رنگ' میں رقم  کوتبدیل کریں۔</t>
  </si>
  <si>
    <t>رقم کو تبدیل کرتے وقت، صرف 'سرخ رنگ' میں لکھی رقم کو تبدیل کریں.</t>
  </si>
  <si>
    <r>
      <t xml:space="preserve">NOTE: </t>
    </r>
    <r>
      <rPr>
        <i/>
        <sz val="10"/>
        <color rgb="FFFF0000"/>
        <rFont val="Times New Roman"/>
        <family val="1"/>
      </rPr>
      <t>ONLY CHANGE VALUES IN RED COLOR</t>
    </r>
  </si>
  <si>
    <t>Taxes are updated by SMEDA 15 working days after the notification issued by the Government of Pakistan.</t>
  </si>
  <si>
    <t>حکومت کی طرف سے جاری کردہ نوٹیفکیشن کے 15 دن بعد ٹیکسوں کو اپ ڈیٹ کیا جاتا ہے۔</t>
  </si>
  <si>
    <t>سمری(Financial Analysis) شیٹ آپ کے پروجیکٹ کی فزیبلٹی کا ایک جائزہ فراہم کرتی ہے۔</t>
  </si>
  <si>
    <t>Please carefully read the details provided in the Manual for making changes in the 'Input Sheet'.</t>
  </si>
  <si>
    <t>براہ کرم 'ان پٹ شیٹ' میں تبدیلیاں کرنے کے لیے اس ماڈل کی گائیڈ میں دی گئی تفصیلات کو غور سے پڑھیں۔</t>
  </si>
  <si>
    <t xml:space="preserve"> Before making any changes to the financial model, Save it As a new file. So that your original file may not be lost.</t>
  </si>
  <si>
    <t xml:space="preserve"> After making any changes click on the "Calculate" button in the bottom left of the Excel Sheet to see the result of the changes. </t>
  </si>
  <si>
    <t xml:space="preserve"> فنانشل ماڈل میں کوئی تبدیلی کرنے سے پہلے، اسے ایک نئی فائل کے طور پر محفوظ کریں۔ تاکہ آپ کی اصل فائل ضائع نہ ہو۔ </t>
  </si>
  <si>
    <t xml:space="preserve"> کوئی  تبدیلی کرنے کے بعد تبدیلی کا نتیجہ دیکھنے کے لیے ایکسل شیٹ کے نیچے بائیں جانب "Calculate" بٹن پر کلک کریں۔     </t>
  </si>
  <si>
    <t>Rs. per unit (Manufacturing/Production/Processing Cost)</t>
  </si>
  <si>
    <t>Rs. per unit (Printing and Packiging Cost)</t>
  </si>
  <si>
    <t>Taxes: Sole Proprietorship  / AOP / Partnership 2022-23</t>
  </si>
  <si>
    <t>Quantity produced per month</t>
  </si>
  <si>
    <t>Office vehicles (admin)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</si>
</sst>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[$Rs.-4009]\ #,##0;[$Rs.-4009]\ \-#,##0"/>
    <numFmt numFmtId="168" formatCode="[$Rs.-4009]\ #,##0.00"/>
    <numFmt numFmtId="169" formatCode="0.000%"/>
    <numFmt numFmtId="170" formatCode="_(* #,##0_);_(* \(#,##0\);_(* &quot;-&quot;?_);_(@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color rgb="FFFFFFFF"/>
      <name val="Times New Roman"/>
      <family val="1"/>
    </font>
    <font>
      <sz val="10"/>
      <color rgb="FFFF0000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color theme="0"/>
      <name val="Times New Roman"/>
      <family val="1"/>
    </font>
    <font>
      <sz val="10"/>
      <color theme="0"/>
      <name val="Times New Roman"/>
      <family val="1"/>
    </font>
    <font>
      <b/>
      <i/>
      <sz val="11"/>
      <name val="Times New Roman"/>
      <family val="1"/>
    </font>
    <font>
      <b/>
      <i/>
      <sz val="11"/>
      <color theme="0"/>
      <name val="Times New Roman"/>
      <family val="1"/>
    </font>
    <font>
      <sz val="10"/>
      <color rgb="FF0000FF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2"/>
      <color indexed="9"/>
      <name val="Times New Roman"/>
      <family val="1"/>
    </font>
    <font>
      <b/>
      <i/>
      <sz val="1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name val="Arial"/>
      <family val="2"/>
    </font>
    <font>
      <b/>
      <sz val="14"/>
      <color theme="0"/>
      <name val="Jameel Noori Nastaleeq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sz val="14"/>
      <name val="Jameel Noori Nastaleeq"/>
    </font>
    <font>
      <sz val="14"/>
      <color rgb="FFFF0000"/>
      <name val="Jameel Noori Nastaleeq"/>
    </font>
    <font>
      <sz val="14"/>
      <color rgb="FF0070C0"/>
      <name val="Jameel Noori Nastaleeq"/>
    </font>
    <font>
      <sz val="14"/>
      <color theme="1"/>
      <name val="Jameel Noori Nastaleeq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theme="1"/>
      <name val="Jameel Noori Nastaleeq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Font="0" applyBorder="0" applyAlignment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1" fontId="22" fillId="0" borderId="0" applyFont="0" applyFill="0" applyBorder="0" applyAlignment="0" applyProtection="0"/>
  </cellStyleXfs>
  <cellXfs count="369">
    <xf numFmtId="0" fontId="0" fillId="0" borderId="0" xfId="0"/>
    <xf numFmtId="165" fontId="5" fillId="2" borderId="0" xfId="1" applyNumberFormat="1" applyFont="1" applyFill="1" applyBorder="1"/>
    <xf numFmtId="165" fontId="5" fillId="3" borderId="0" xfId="1" applyNumberFormat="1" applyFont="1" applyFill="1" applyBorder="1"/>
    <xf numFmtId="165" fontId="6" fillId="4" borderId="0" xfId="1" applyNumberFormat="1" applyFont="1" applyFill="1" applyBorder="1"/>
    <xf numFmtId="165" fontId="6" fillId="4" borderId="0" xfId="1" applyNumberFormat="1" applyFont="1" applyFill="1" applyBorder="1" applyAlignment="1">
      <alignment horizontal="right"/>
    </xf>
    <xf numFmtId="165" fontId="6" fillId="4" borderId="0" xfId="1" applyNumberFormat="1" applyFont="1" applyFill="1" applyBorder="1" applyAlignment="1">
      <alignment horizontal="center"/>
    </xf>
    <xf numFmtId="9" fontId="5" fillId="3" borderId="0" xfId="2" applyFont="1" applyFill="1" applyBorder="1"/>
    <xf numFmtId="165" fontId="5" fillId="3" borderId="0" xfId="1" applyNumberFormat="1" applyFont="1" applyFill="1" applyBorder="1" applyAlignment="1">
      <alignment vertical="top"/>
    </xf>
    <xf numFmtId="9" fontId="9" fillId="3" borderId="0" xfId="2" applyFont="1" applyFill="1" applyBorder="1" applyAlignment="1">
      <alignment vertical="top"/>
    </xf>
    <xf numFmtId="9" fontId="9" fillId="3" borderId="0" xfId="2" applyFont="1" applyFill="1" applyBorder="1"/>
    <xf numFmtId="165" fontId="9" fillId="3" borderId="0" xfId="1" applyNumberFormat="1" applyFont="1" applyFill="1" applyBorder="1"/>
    <xf numFmtId="165" fontId="9" fillId="3" borderId="0" xfId="1" applyNumberFormat="1" applyFont="1" applyFill="1" applyBorder="1" applyAlignment="1">
      <alignment vertical="top"/>
    </xf>
    <xf numFmtId="165" fontId="9" fillId="3" borderId="0" xfId="1" applyNumberFormat="1" applyFont="1" applyFill="1" applyBorder="1" applyAlignment="1">
      <alignment horizontal="left"/>
    </xf>
    <xf numFmtId="166" fontId="9" fillId="3" borderId="0" xfId="2" applyNumberFormat="1" applyFont="1" applyFill="1" applyBorder="1"/>
    <xf numFmtId="165" fontId="5" fillId="3" borderId="0" xfId="1" applyNumberFormat="1" applyFont="1" applyFill="1" applyBorder="1" applyAlignment="1">
      <alignment horizontal="left"/>
    </xf>
    <xf numFmtId="165" fontId="5" fillId="3" borderId="0" xfId="1" applyNumberFormat="1" applyFont="1" applyFill="1" applyBorder="1" applyAlignment="1">
      <alignment wrapText="1"/>
    </xf>
    <xf numFmtId="9" fontId="9" fillId="5" borderId="0" xfId="2" applyFont="1" applyFill="1" applyBorder="1" applyAlignment="1">
      <alignment vertical="top"/>
    </xf>
    <xf numFmtId="9" fontId="9" fillId="5" borderId="0" xfId="2" applyFont="1" applyFill="1" applyBorder="1"/>
    <xf numFmtId="165" fontId="5" fillId="5" borderId="0" xfId="1" applyNumberFormat="1" applyFont="1" applyFill="1" applyBorder="1"/>
    <xf numFmtId="165" fontId="5" fillId="6" borderId="0" xfId="1" applyNumberFormat="1" applyFont="1" applyFill="1" applyBorder="1"/>
    <xf numFmtId="165" fontId="5" fillId="7" borderId="0" xfId="1" applyNumberFormat="1" applyFont="1" applyFill="1" applyAlignment="1">
      <alignment horizontal="left"/>
    </xf>
    <xf numFmtId="9" fontId="12" fillId="7" borderId="0" xfId="2" applyFont="1" applyFill="1"/>
    <xf numFmtId="165" fontId="7" fillId="7" borderId="9" xfId="1" applyNumberFormat="1" applyFont="1" applyFill="1" applyBorder="1" applyAlignment="1">
      <alignment horizontal="left" indent="1"/>
    </xf>
    <xf numFmtId="165" fontId="7" fillId="7" borderId="0" xfId="1" applyNumberFormat="1" applyFont="1" applyFill="1" applyBorder="1"/>
    <xf numFmtId="9" fontId="7" fillId="7" borderId="0" xfId="2" applyFont="1" applyFill="1" applyBorder="1"/>
    <xf numFmtId="165" fontId="5" fillId="8" borderId="0" xfId="1" applyNumberFormat="1" applyFont="1" applyFill="1"/>
    <xf numFmtId="165" fontId="5" fillId="7" borderId="0" xfId="1" applyNumberFormat="1" applyFont="1" applyFill="1"/>
    <xf numFmtId="165" fontId="7" fillId="7" borderId="0" xfId="1" applyNumberFormat="1" applyFont="1" applyFill="1"/>
    <xf numFmtId="165" fontId="5" fillId="7" borderId="0" xfId="1" applyNumberFormat="1" applyFont="1" applyFill="1" applyAlignment="1">
      <alignment horizontal="left" indent="1"/>
    </xf>
    <xf numFmtId="165" fontId="6" fillId="7" borderId="1" xfId="1" applyNumberFormat="1" applyFont="1" applyFill="1" applyBorder="1"/>
    <xf numFmtId="165" fontId="5" fillId="7" borderId="1" xfId="1" applyNumberFormat="1" applyFont="1" applyFill="1" applyBorder="1"/>
    <xf numFmtId="165" fontId="10" fillId="12" borderId="0" xfId="1" applyNumberFormat="1" applyFont="1" applyFill="1"/>
    <xf numFmtId="165" fontId="10" fillId="12" borderId="0" xfId="1" applyNumberFormat="1" applyFont="1" applyFill="1" applyAlignment="1">
      <alignment horizontal="right"/>
    </xf>
    <xf numFmtId="165" fontId="11" fillId="12" borderId="0" xfId="1" applyNumberFormat="1" applyFont="1" applyFill="1"/>
    <xf numFmtId="165" fontId="6" fillId="3" borderId="1" xfId="1" applyNumberFormat="1" applyFont="1" applyFill="1" applyBorder="1" applyAlignment="1">
      <alignment horizontal="left"/>
    </xf>
    <xf numFmtId="165" fontId="6" fillId="9" borderId="0" xfId="1" applyNumberFormat="1" applyFont="1" applyFill="1"/>
    <xf numFmtId="165" fontId="6" fillId="9" borderId="0" xfId="1" applyNumberFormat="1" applyFont="1" applyFill="1" applyAlignment="1">
      <alignment horizontal="right"/>
    </xf>
    <xf numFmtId="165" fontId="13" fillId="7" borderId="0" xfId="1" applyNumberFormat="1" applyFont="1" applyFill="1"/>
    <xf numFmtId="165" fontId="13" fillId="7" borderId="0" xfId="1" applyNumberFormat="1" applyFont="1" applyFill="1" applyBorder="1" applyAlignment="1">
      <alignment vertical="top"/>
    </xf>
    <xf numFmtId="165" fontId="14" fillId="7" borderId="0" xfId="1" applyNumberFormat="1" applyFont="1" applyFill="1" applyBorder="1" applyAlignment="1">
      <alignment vertical="top" wrapText="1"/>
    </xf>
    <xf numFmtId="165" fontId="5" fillId="7" borderId="0" xfId="1" applyNumberFormat="1" applyFont="1" applyFill="1" applyAlignment="1">
      <alignment horizontal="left" vertical="top"/>
    </xf>
    <xf numFmtId="165" fontId="15" fillId="7" borderId="0" xfId="1" applyNumberFormat="1" applyFont="1" applyFill="1"/>
    <xf numFmtId="0" fontId="5" fillId="0" borderId="0" xfId="0" applyFont="1"/>
    <xf numFmtId="165" fontId="16" fillId="7" borderId="1" xfId="1" applyNumberFormat="1" applyFont="1" applyFill="1" applyBorder="1"/>
    <xf numFmtId="165" fontId="16" fillId="8" borderId="0" xfId="1" applyNumberFormat="1" applyFont="1" applyFill="1"/>
    <xf numFmtId="165" fontId="16" fillId="7" borderId="0" xfId="1" applyNumberFormat="1" applyFont="1" applyFill="1" applyAlignment="1">
      <alignment horizontal="left"/>
    </xf>
    <xf numFmtId="165" fontId="16" fillId="7" borderId="0" xfId="1" applyNumberFormat="1" applyFont="1" applyFill="1"/>
    <xf numFmtId="165" fontId="5" fillId="3" borderId="0" xfId="1" applyNumberFormat="1" applyFont="1" applyFill="1" applyBorder="1" applyAlignment="1">
      <alignment horizontal="right"/>
    </xf>
    <xf numFmtId="0" fontId="17" fillId="12" borderId="0" xfId="7" applyFont="1" applyFill="1"/>
    <xf numFmtId="0" fontId="18" fillId="12" borderId="0" xfId="7" applyFont="1" applyFill="1"/>
    <xf numFmtId="165" fontId="19" fillId="7" borderId="0" xfId="1" applyNumberFormat="1" applyFont="1" applyFill="1"/>
    <xf numFmtId="165" fontId="11" fillId="5" borderId="0" xfId="1" applyNumberFormat="1" applyFont="1" applyFill="1"/>
    <xf numFmtId="165" fontId="10" fillId="5" borderId="0" xfId="1" applyNumberFormat="1" applyFont="1" applyFill="1"/>
    <xf numFmtId="165" fontId="5" fillId="3" borderId="0" xfId="1" applyNumberFormat="1" applyFont="1" applyFill="1" applyBorder="1" applyAlignment="1"/>
    <xf numFmtId="165" fontId="6" fillId="7" borderId="7" xfId="1" applyNumberFormat="1" applyFont="1" applyFill="1" applyBorder="1"/>
    <xf numFmtId="165" fontId="20" fillId="12" borderId="8" xfId="1" applyNumberFormat="1" applyFont="1" applyFill="1" applyBorder="1" applyAlignment="1">
      <alignment vertical="center"/>
    </xf>
    <xf numFmtId="165" fontId="20" fillId="12" borderId="3" xfId="1" applyNumberFormat="1" applyFont="1" applyFill="1" applyBorder="1"/>
    <xf numFmtId="165" fontId="20" fillId="12" borderId="14" xfId="1" applyNumberFormat="1" applyFont="1" applyFill="1" applyBorder="1"/>
    <xf numFmtId="165" fontId="20" fillId="12" borderId="8" xfId="1" applyNumberFormat="1" applyFont="1" applyFill="1" applyBorder="1"/>
    <xf numFmtId="165" fontId="20" fillId="12" borderId="3" xfId="1" applyNumberFormat="1" applyFont="1" applyFill="1" applyBorder="1" applyAlignment="1">
      <alignment horizontal="right" vertical="center"/>
    </xf>
    <xf numFmtId="165" fontId="20" fillId="12" borderId="14" xfId="1" applyNumberFormat="1" applyFont="1" applyFill="1" applyBorder="1" applyAlignment="1">
      <alignment horizontal="right" vertical="center"/>
    </xf>
    <xf numFmtId="164" fontId="9" fillId="3" borderId="0" xfId="1" applyNumberFormat="1" applyFont="1" applyFill="1" applyBorder="1" applyAlignment="1">
      <alignment vertical="top"/>
    </xf>
    <xf numFmtId="165" fontId="7" fillId="7" borderId="8" xfId="1" applyNumberFormat="1" applyFont="1" applyFill="1" applyBorder="1" applyAlignment="1">
      <alignment horizontal="left" indent="1"/>
    </xf>
    <xf numFmtId="165" fontId="7" fillId="7" borderId="3" xfId="1" applyNumberFormat="1" applyFont="1" applyFill="1" applyBorder="1"/>
    <xf numFmtId="9" fontId="7" fillId="7" borderId="3" xfId="2" applyFont="1" applyFill="1" applyBorder="1"/>
    <xf numFmtId="165" fontId="6" fillId="3" borderId="0" xfId="1" applyNumberFormat="1" applyFont="1" applyFill="1" applyBorder="1" applyAlignment="1">
      <alignment horizontal="left"/>
    </xf>
    <xf numFmtId="43" fontId="9" fillId="3" borderId="0" xfId="1" applyNumberFormat="1" applyFont="1" applyFill="1" applyBorder="1"/>
    <xf numFmtId="164" fontId="9" fillId="3" borderId="0" xfId="1" applyNumberFormat="1" applyFont="1" applyFill="1" applyBorder="1"/>
    <xf numFmtId="165" fontId="8" fillId="15" borderId="0" xfId="1" applyNumberFormat="1" applyFont="1" applyFill="1" applyBorder="1"/>
    <xf numFmtId="165" fontId="8" fillId="15" borderId="0" xfId="1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left" vertical="top"/>
    </xf>
    <xf numFmtId="165" fontId="5" fillId="3" borderId="0" xfId="1" applyNumberFormat="1" applyFont="1" applyFill="1" applyBorder="1" applyAlignment="1">
      <alignment horizontal="left" indent="1"/>
    </xf>
    <xf numFmtId="165" fontId="6" fillId="4" borderId="0" xfId="1" applyNumberFormat="1" applyFont="1" applyFill="1" applyBorder="1" applyAlignment="1">
      <alignment horizontal="right" wrapText="1"/>
    </xf>
    <xf numFmtId="165" fontId="6" fillId="3" borderId="6" xfId="1" applyNumberFormat="1" applyFont="1" applyFill="1" applyBorder="1"/>
    <xf numFmtId="165" fontId="5" fillId="3" borderId="6" xfId="1" applyNumberFormat="1" applyFont="1" applyFill="1" applyBorder="1"/>
    <xf numFmtId="165" fontId="9" fillId="3" borderId="6" xfId="1" applyNumberFormat="1" applyFont="1" applyFill="1" applyBorder="1"/>
    <xf numFmtId="166" fontId="9" fillId="3" borderId="6" xfId="2" applyNumberFormat="1" applyFont="1" applyFill="1" applyBorder="1"/>
    <xf numFmtId="165" fontId="6" fillId="6" borderId="0" xfId="1" applyNumberFormat="1" applyFont="1" applyFill="1" applyBorder="1" applyAlignment="1">
      <alignment horizontal="right"/>
    </xf>
    <xf numFmtId="165" fontId="9" fillId="6" borderId="0" xfId="1" applyNumberFormat="1" applyFont="1" applyFill="1" applyBorder="1" applyAlignment="1">
      <alignment horizontal="right"/>
    </xf>
    <xf numFmtId="165" fontId="5" fillId="6" borderId="0" xfId="1" applyNumberFormat="1" applyFont="1" applyFill="1" applyBorder="1" applyAlignment="1">
      <alignment horizontal="left"/>
    </xf>
    <xf numFmtId="165" fontId="9" fillId="6" borderId="0" xfId="1" applyNumberFormat="1" applyFont="1" applyFill="1" applyBorder="1" applyAlignment="1">
      <alignment horizontal="right" vertical="center"/>
    </xf>
    <xf numFmtId="165" fontId="5" fillId="6" borderId="0" xfId="1" applyNumberFormat="1" applyFont="1" applyFill="1" applyBorder="1" applyAlignment="1">
      <alignment wrapText="1"/>
    </xf>
    <xf numFmtId="9" fontId="21" fillId="7" borderId="0" xfId="2" applyFont="1" applyFill="1"/>
    <xf numFmtId="165" fontId="5" fillId="7" borderId="0" xfId="1" applyNumberFormat="1" applyFont="1" applyFill="1" applyAlignment="1">
      <alignment wrapText="1"/>
    </xf>
    <xf numFmtId="165" fontId="7" fillId="5" borderId="3" xfId="1" applyNumberFormat="1" applyFont="1" applyFill="1" applyBorder="1"/>
    <xf numFmtId="165" fontId="7" fillId="5" borderId="0" xfId="1" applyNumberFormat="1" applyFont="1" applyFill="1" applyBorder="1"/>
    <xf numFmtId="41" fontId="20" fillId="12" borderId="8" xfId="8" applyFont="1" applyFill="1" applyBorder="1"/>
    <xf numFmtId="165" fontId="5" fillId="8" borderId="0" xfId="1" applyNumberFormat="1" applyFont="1" applyFill="1" applyBorder="1"/>
    <xf numFmtId="165" fontId="5" fillId="9" borderId="0" xfId="1" applyNumberFormat="1" applyFont="1" applyFill="1" applyBorder="1"/>
    <xf numFmtId="165" fontId="5" fillId="9" borderId="0" xfId="1" applyNumberFormat="1" applyFont="1" applyFill="1" applyBorder="1" applyAlignment="1">
      <alignment horizontal="right"/>
    </xf>
    <xf numFmtId="165" fontId="5" fillId="7" borderId="0" xfId="1" applyNumberFormat="1" applyFont="1" applyFill="1" applyBorder="1"/>
    <xf numFmtId="165" fontId="5" fillId="7" borderId="13" xfId="1" applyNumberFormat="1" applyFont="1" applyFill="1" applyBorder="1" applyAlignment="1">
      <alignment horizontal="left" indent="1"/>
    </xf>
    <xf numFmtId="165" fontId="5" fillId="7" borderId="13" xfId="1" applyNumberFormat="1" applyFont="1" applyFill="1" applyBorder="1"/>
    <xf numFmtId="9" fontId="5" fillId="7" borderId="13" xfId="2" applyFont="1" applyFill="1" applyBorder="1"/>
    <xf numFmtId="9" fontId="21" fillId="7" borderId="13" xfId="2" applyFont="1" applyFill="1" applyBorder="1"/>
    <xf numFmtId="165" fontId="21" fillId="7" borderId="13" xfId="1" applyNumberFormat="1" applyFont="1" applyFill="1" applyBorder="1"/>
    <xf numFmtId="9" fontId="5" fillId="7" borderId="0" xfId="2" applyFont="1" applyFill="1" applyBorder="1"/>
    <xf numFmtId="165" fontId="21" fillId="7" borderId="0" xfId="1" applyNumberFormat="1" applyFont="1" applyFill="1"/>
    <xf numFmtId="165" fontId="5" fillId="9" borderId="0" xfId="1" applyNumberFormat="1" applyFont="1" applyFill="1"/>
    <xf numFmtId="165" fontId="5" fillId="9" borderId="0" xfId="1" applyNumberFormat="1" applyFont="1" applyFill="1" applyAlignment="1">
      <alignment horizontal="center"/>
    </xf>
    <xf numFmtId="0" fontId="5" fillId="9" borderId="0" xfId="1" applyNumberFormat="1" applyFont="1" applyFill="1" applyAlignment="1">
      <alignment horizontal="center"/>
    </xf>
    <xf numFmtId="165" fontId="5" fillId="9" borderId="5" xfId="1" applyNumberFormat="1" applyFont="1" applyFill="1" applyBorder="1"/>
    <xf numFmtId="165" fontId="5" fillId="9" borderId="6" xfId="1" applyNumberFormat="1" applyFont="1" applyFill="1" applyBorder="1"/>
    <xf numFmtId="165" fontId="5" fillId="9" borderId="6" xfId="1" applyNumberFormat="1" applyFont="1" applyFill="1" applyBorder="1" applyAlignment="1">
      <alignment horizontal="right"/>
    </xf>
    <xf numFmtId="165" fontId="5" fillId="9" borderId="7" xfId="1" applyNumberFormat="1" applyFont="1" applyFill="1" applyBorder="1" applyAlignment="1">
      <alignment horizontal="right"/>
    </xf>
    <xf numFmtId="165" fontId="5" fillId="7" borderId="9" xfId="1" applyNumberFormat="1" applyFont="1" applyFill="1" applyBorder="1"/>
    <xf numFmtId="165" fontId="23" fillId="7" borderId="0" xfId="1" applyNumberFormat="1" applyFont="1" applyFill="1" applyBorder="1"/>
    <xf numFmtId="165" fontId="5" fillId="7" borderId="11" xfId="1" applyNumberFormat="1" applyFont="1" applyFill="1" applyBorder="1"/>
    <xf numFmtId="165" fontId="5" fillId="7" borderId="2" xfId="1" applyNumberFormat="1" applyFont="1" applyFill="1" applyBorder="1"/>
    <xf numFmtId="9" fontId="5" fillId="7" borderId="2" xfId="2" applyFont="1" applyFill="1" applyBorder="1"/>
    <xf numFmtId="165" fontId="5" fillId="5" borderId="2" xfId="1" applyNumberFormat="1" applyFont="1" applyFill="1" applyBorder="1"/>
    <xf numFmtId="9" fontId="5" fillId="7" borderId="0" xfId="2" applyFont="1" applyFill="1"/>
    <xf numFmtId="165" fontId="12" fillId="7" borderId="0" xfId="1" applyNumberFormat="1" applyFont="1" applyFill="1"/>
    <xf numFmtId="0" fontId="5" fillId="7" borderId="0" xfId="2" applyNumberFormat="1" applyFont="1" applyFill="1"/>
    <xf numFmtId="43" fontId="5" fillId="7" borderId="0" xfId="1" applyNumberFormat="1" applyFont="1" applyFill="1"/>
    <xf numFmtId="165" fontId="5" fillId="7" borderId="6" xfId="1" applyNumberFormat="1" applyFont="1" applyFill="1" applyBorder="1"/>
    <xf numFmtId="165" fontId="5" fillId="5" borderId="0" xfId="1" applyNumberFormat="1" applyFont="1" applyFill="1"/>
    <xf numFmtId="165" fontId="5" fillId="9" borderId="0" xfId="1" applyNumberFormat="1" applyFont="1" applyFill="1" applyAlignment="1">
      <alignment horizontal="right"/>
    </xf>
    <xf numFmtId="165" fontId="5" fillId="11" borderId="0" xfId="1" applyNumberFormat="1" applyFont="1" applyFill="1"/>
    <xf numFmtId="43" fontId="5" fillId="7" borderId="0" xfId="1" applyFont="1" applyFill="1"/>
    <xf numFmtId="165" fontId="5" fillId="10" borderId="8" xfId="1" applyNumberFormat="1" applyFont="1" applyFill="1" applyBorder="1"/>
    <xf numFmtId="165" fontId="5" fillId="10" borderId="3" xfId="1" applyNumberFormat="1" applyFont="1" applyFill="1" applyBorder="1"/>
    <xf numFmtId="9" fontId="5" fillId="10" borderId="14" xfId="2" applyFont="1" applyFill="1" applyBorder="1"/>
    <xf numFmtId="165" fontId="5" fillId="10" borderId="9" xfId="1" applyNumberFormat="1" applyFont="1" applyFill="1" applyBorder="1"/>
    <xf numFmtId="165" fontId="5" fillId="10" borderId="0" xfId="1" applyNumberFormat="1" applyFont="1" applyFill="1" applyBorder="1"/>
    <xf numFmtId="9" fontId="5" fillId="10" borderId="10" xfId="2" applyFont="1" applyFill="1" applyBorder="1"/>
    <xf numFmtId="165" fontId="5" fillId="7" borderId="0" xfId="2" applyNumberFormat="1" applyFont="1" applyFill="1"/>
    <xf numFmtId="165" fontId="5" fillId="10" borderId="10" xfId="1" applyNumberFormat="1" applyFont="1" applyFill="1" applyBorder="1"/>
    <xf numFmtId="165" fontId="5" fillId="10" borderId="11" xfId="1" applyNumberFormat="1" applyFont="1" applyFill="1" applyBorder="1"/>
    <xf numFmtId="165" fontId="5" fillId="10" borderId="2" xfId="1" applyNumberFormat="1" applyFont="1" applyFill="1" applyBorder="1"/>
    <xf numFmtId="43" fontId="5" fillId="10" borderId="12" xfId="1" applyFont="1" applyFill="1" applyBorder="1"/>
    <xf numFmtId="165" fontId="24" fillId="12" borderId="3" xfId="1" applyNumberFormat="1" applyFont="1" applyFill="1" applyBorder="1"/>
    <xf numFmtId="165" fontId="24" fillId="12" borderId="14" xfId="1" applyNumberFormat="1" applyFont="1" applyFill="1" applyBorder="1"/>
    <xf numFmtId="165" fontId="5" fillId="5" borderId="9" xfId="1" applyNumberFormat="1" applyFont="1" applyFill="1" applyBorder="1" applyAlignment="1">
      <alignment horizontal="left" indent="1"/>
    </xf>
    <xf numFmtId="0" fontId="5" fillId="5" borderId="0" xfId="0" applyFont="1" applyFill="1" applyBorder="1"/>
    <xf numFmtId="165" fontId="5" fillId="7" borderId="10" xfId="1" applyNumberFormat="1" applyFont="1" applyFill="1" applyBorder="1"/>
    <xf numFmtId="0" fontId="5" fillId="5" borderId="0" xfId="0" applyFont="1" applyFill="1"/>
    <xf numFmtId="165" fontId="6" fillId="5" borderId="5" xfId="1" applyNumberFormat="1" applyFont="1" applyFill="1" applyBorder="1"/>
    <xf numFmtId="0" fontId="5" fillId="5" borderId="6" xfId="0" applyFont="1" applyFill="1" applyBorder="1"/>
    <xf numFmtId="165" fontId="25" fillId="5" borderId="0" xfId="1" applyNumberFormat="1" applyFont="1" applyFill="1"/>
    <xf numFmtId="165" fontId="5" fillId="5" borderId="11" xfId="1" applyNumberFormat="1" applyFont="1" applyFill="1" applyBorder="1" applyAlignment="1">
      <alignment horizontal="left" indent="1"/>
    </xf>
    <xf numFmtId="0" fontId="5" fillId="5" borderId="2" xfId="0" applyFont="1" applyFill="1" applyBorder="1"/>
    <xf numFmtId="165" fontId="5" fillId="7" borderId="12" xfId="1" applyNumberFormat="1" applyFont="1" applyFill="1" applyBorder="1"/>
    <xf numFmtId="165" fontId="16" fillId="5" borderId="5" xfId="1" applyNumberFormat="1" applyFont="1" applyFill="1" applyBorder="1"/>
    <xf numFmtId="0" fontId="25" fillId="5" borderId="6" xfId="0" applyFont="1" applyFill="1" applyBorder="1"/>
    <xf numFmtId="165" fontId="16" fillId="5" borderId="7" xfId="1" applyNumberFormat="1" applyFont="1" applyFill="1" applyBorder="1"/>
    <xf numFmtId="165" fontId="5" fillId="7" borderId="9" xfId="1" applyNumberFormat="1" applyFont="1" applyFill="1" applyBorder="1" applyAlignment="1"/>
    <xf numFmtId="9" fontId="5" fillId="7" borderId="0" xfId="2" applyFont="1" applyFill="1" applyBorder="1" applyAlignment="1"/>
    <xf numFmtId="165" fontId="5" fillId="5" borderId="10" xfId="1" applyNumberFormat="1" applyFont="1" applyFill="1" applyBorder="1"/>
    <xf numFmtId="165" fontId="5" fillId="7" borderId="11" xfId="1" applyNumberFormat="1" applyFont="1" applyFill="1" applyBorder="1" applyAlignment="1"/>
    <xf numFmtId="9" fontId="5" fillId="7" borderId="2" xfId="2" applyFont="1" applyFill="1" applyBorder="1" applyAlignment="1"/>
    <xf numFmtId="165" fontId="5" fillId="5" borderId="12" xfId="1" applyNumberFormat="1" applyFont="1" applyFill="1" applyBorder="1"/>
    <xf numFmtId="0" fontId="5" fillId="0" borderId="0" xfId="0" applyFont="1" applyFill="1"/>
    <xf numFmtId="165" fontId="5" fillId="0" borderId="0" xfId="1" applyNumberFormat="1" applyFont="1" applyFill="1"/>
    <xf numFmtId="165" fontId="5" fillId="5" borderId="9" xfId="1" applyNumberFormat="1" applyFont="1" applyFill="1" applyBorder="1"/>
    <xf numFmtId="9" fontId="5" fillId="5" borderId="0" xfId="2" applyFont="1" applyFill="1" applyBorder="1"/>
    <xf numFmtId="9" fontId="5" fillId="5" borderId="10" xfId="2" applyFont="1" applyFill="1" applyBorder="1"/>
    <xf numFmtId="43" fontId="5" fillId="5" borderId="0" xfId="1" applyNumberFormat="1" applyFont="1" applyFill="1" applyBorder="1"/>
    <xf numFmtId="43" fontId="5" fillId="5" borderId="10" xfId="1" applyNumberFormat="1" applyFont="1" applyFill="1" applyBorder="1"/>
    <xf numFmtId="9" fontId="21" fillId="5" borderId="10" xfId="2" applyFont="1" applyFill="1" applyBorder="1"/>
    <xf numFmtId="169" fontId="5" fillId="0" borderId="0" xfId="2" applyNumberFormat="1" applyFont="1" applyFill="1"/>
    <xf numFmtId="165" fontId="5" fillId="5" borderId="11" xfId="1" applyNumberFormat="1" applyFont="1" applyFill="1" applyBorder="1"/>
    <xf numFmtId="0" fontId="5" fillId="0" borderId="2" xfId="0" applyFont="1" applyBorder="1"/>
    <xf numFmtId="9" fontId="5" fillId="5" borderId="12" xfId="2" applyNumberFormat="1" applyFont="1" applyFill="1" applyBorder="1"/>
    <xf numFmtId="0" fontId="5" fillId="0" borderId="0" xfId="0" applyFont="1" applyAlignment="1">
      <alignment horizontal="center"/>
    </xf>
    <xf numFmtId="165" fontId="5" fillId="5" borderId="8" xfId="1" applyNumberFormat="1" applyFont="1" applyFill="1" applyBorder="1"/>
    <xf numFmtId="0" fontId="5" fillId="5" borderId="3" xfId="0" applyFont="1" applyFill="1" applyBorder="1"/>
    <xf numFmtId="165" fontId="5" fillId="5" borderId="14" xfId="1" applyNumberFormat="1" applyFont="1" applyFill="1" applyBorder="1"/>
    <xf numFmtId="165" fontId="5" fillId="0" borderId="0" xfId="0" applyNumberFormat="1" applyFont="1"/>
    <xf numFmtId="9" fontId="5" fillId="5" borderId="10" xfId="2" applyNumberFormat="1" applyFont="1" applyFill="1" applyBorder="1"/>
    <xf numFmtId="165" fontId="6" fillId="8" borderId="0" xfId="1" applyNumberFormat="1" applyFont="1" applyFill="1"/>
    <xf numFmtId="0" fontId="6" fillId="0" borderId="0" xfId="0" applyFont="1"/>
    <xf numFmtId="165" fontId="5" fillId="7" borderId="0" xfId="1" applyNumberFormat="1" applyFont="1" applyFill="1" applyAlignment="1">
      <alignment horizontal="left" wrapText="1" indent="1"/>
    </xf>
    <xf numFmtId="165" fontId="5" fillId="7" borderId="0" xfId="1" applyNumberFormat="1" applyFont="1" applyFill="1" applyAlignment="1">
      <alignment vertical="center"/>
    </xf>
    <xf numFmtId="165" fontId="25" fillId="8" borderId="0" xfId="1" applyNumberFormat="1" applyFont="1" applyFill="1"/>
    <xf numFmtId="0" fontId="25" fillId="0" borderId="0" xfId="0" applyFont="1"/>
    <xf numFmtId="0" fontId="16" fillId="0" borderId="0" xfId="0" applyFont="1"/>
    <xf numFmtId="165" fontId="5" fillId="3" borderId="1" xfId="1" applyNumberFormat="1" applyFont="1" applyFill="1" applyBorder="1" applyAlignment="1">
      <alignment horizontal="left"/>
    </xf>
    <xf numFmtId="165" fontId="5" fillId="3" borderId="0" xfId="1" applyNumberFormat="1" applyFont="1" applyFill="1" applyBorder="1" applyAlignment="1">
      <alignment horizontal="center"/>
    </xf>
    <xf numFmtId="165" fontId="5" fillId="5" borderId="0" xfId="1" applyNumberFormat="1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 vertical="top"/>
    </xf>
    <xf numFmtId="165" fontId="5" fillId="5" borderId="0" xfId="1" applyNumberFormat="1" applyFont="1" applyFill="1" applyBorder="1" applyAlignment="1">
      <alignment horizontal="center" vertical="top"/>
    </xf>
    <xf numFmtId="0" fontId="5" fillId="14" borderId="0" xfId="0" applyFont="1" applyFill="1"/>
    <xf numFmtId="165" fontId="5" fillId="14" borderId="0" xfId="1" applyNumberFormat="1" applyFont="1" applyFill="1"/>
    <xf numFmtId="0" fontId="6" fillId="5" borderId="0" xfId="0" applyFont="1" applyFill="1"/>
    <xf numFmtId="165" fontId="6" fillId="9" borderId="0" xfId="1" applyNumberFormat="1" applyFont="1" applyFill="1" applyBorder="1" applyAlignment="1">
      <alignment horizontal="center"/>
    </xf>
    <xf numFmtId="165" fontId="5" fillId="14" borderId="0" xfId="1" applyNumberFormat="1" applyFont="1" applyFill="1" applyBorder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left" indent="1"/>
    </xf>
    <xf numFmtId="0" fontId="26" fillId="5" borderId="0" xfId="0" applyFont="1" applyFill="1" applyAlignment="1">
      <alignment horizontal="left" indent="2"/>
    </xf>
    <xf numFmtId="0" fontId="26" fillId="5" borderId="0" xfId="0" applyFont="1" applyFill="1" applyAlignment="1">
      <alignment horizontal="center"/>
    </xf>
    <xf numFmtId="165" fontId="26" fillId="5" borderId="0" xfId="1" applyNumberFormat="1" applyFont="1" applyFill="1"/>
    <xf numFmtId="165" fontId="26" fillId="5" borderId="3" xfId="1" applyNumberFormat="1" applyFont="1" applyFill="1" applyBorder="1"/>
    <xf numFmtId="0" fontId="27" fillId="5" borderId="0" xfId="0" applyFont="1" applyFill="1" applyAlignment="1">
      <alignment horizontal="left" indent="1"/>
    </xf>
    <xf numFmtId="0" fontId="26" fillId="5" borderId="3" xfId="0" applyFont="1" applyFill="1" applyBorder="1" applyAlignment="1">
      <alignment horizontal="left" indent="2"/>
    </xf>
    <xf numFmtId="170" fontId="5" fillId="5" borderId="3" xfId="0" applyNumberFormat="1" applyFont="1" applyFill="1" applyBorder="1"/>
    <xf numFmtId="165" fontId="5" fillId="5" borderId="0" xfId="1" applyNumberFormat="1" applyFont="1" applyFill="1" applyAlignment="1">
      <alignment horizontal="left" indent="2"/>
    </xf>
    <xf numFmtId="0" fontId="27" fillId="5" borderId="6" xfId="0" applyFont="1" applyFill="1" applyBorder="1" applyAlignment="1">
      <alignment horizontal="left" indent="1"/>
    </xf>
    <xf numFmtId="0" fontId="6" fillId="5" borderId="6" xfId="0" applyFont="1" applyFill="1" applyBorder="1"/>
    <xf numFmtId="165" fontId="6" fillId="5" borderId="6" xfId="0" applyNumberFormat="1" applyFont="1" applyFill="1" applyBorder="1"/>
    <xf numFmtId="0" fontId="5" fillId="5" borderId="0" xfId="0" applyFont="1" applyFill="1" applyAlignment="1">
      <alignment horizontal="left" indent="1"/>
    </xf>
    <xf numFmtId="0" fontId="27" fillId="5" borderId="6" xfId="0" applyFont="1" applyFill="1" applyBorder="1"/>
    <xf numFmtId="165" fontId="27" fillId="5" borderId="6" xfId="0" applyNumberFormat="1" applyFont="1" applyFill="1" applyBorder="1"/>
    <xf numFmtId="0" fontId="6" fillId="5" borderId="6" xfId="0" applyFont="1" applyFill="1" applyBorder="1" applyAlignment="1">
      <alignment horizontal="left" indent="1"/>
    </xf>
    <xf numFmtId="0" fontId="5" fillId="5" borderId="0" xfId="0" applyFont="1" applyFill="1" applyProtection="1">
      <protection hidden="1"/>
    </xf>
    <xf numFmtId="0" fontId="29" fillId="5" borderId="18" xfId="0" applyFont="1" applyFill="1" applyBorder="1" applyAlignment="1" applyProtection="1">
      <alignment vertical="center"/>
      <protection hidden="1"/>
    </xf>
    <xf numFmtId="167" fontId="16" fillId="5" borderId="19" xfId="1" applyNumberFormat="1" applyFont="1" applyFill="1" applyBorder="1" applyAlignment="1" applyProtection="1">
      <alignment horizontal="right" vertical="center"/>
      <protection locked="0"/>
    </xf>
    <xf numFmtId="0" fontId="29" fillId="5" borderId="20" xfId="0" applyFont="1" applyFill="1" applyBorder="1" applyAlignment="1" applyProtection="1">
      <alignment vertical="center"/>
      <protection hidden="1"/>
    </xf>
    <xf numFmtId="9" fontId="16" fillId="5" borderId="21" xfId="2" applyFont="1" applyFill="1" applyBorder="1" applyAlignment="1" applyProtection="1">
      <alignment horizontal="right" vertical="center"/>
      <protection locked="0"/>
    </xf>
    <xf numFmtId="0" fontId="5" fillId="13" borderId="0" xfId="0" applyFont="1" applyFill="1" applyProtection="1">
      <protection locked="0"/>
    </xf>
    <xf numFmtId="165" fontId="16" fillId="5" borderId="21" xfId="1" applyNumberFormat="1" applyFont="1" applyFill="1" applyBorder="1" applyAlignment="1" applyProtection="1">
      <alignment horizontal="right" vertical="center"/>
      <protection locked="0"/>
    </xf>
    <xf numFmtId="0" fontId="29" fillId="5" borderId="22" xfId="0" applyFont="1" applyFill="1" applyBorder="1" applyAlignment="1" applyProtection="1">
      <alignment vertical="center" wrapText="1"/>
      <protection hidden="1"/>
    </xf>
    <xf numFmtId="165" fontId="30" fillId="5" borderId="23" xfId="1" applyNumberFormat="1" applyFont="1" applyFill="1" applyBorder="1" applyAlignment="1" applyProtection="1">
      <alignment horizontal="right"/>
      <protection locked="0"/>
    </xf>
    <xf numFmtId="0" fontId="29" fillId="5" borderId="0" xfId="0" applyFont="1" applyFill="1" applyBorder="1" applyProtection="1">
      <protection hidden="1"/>
    </xf>
    <xf numFmtId="165" fontId="30" fillId="5" borderId="0" xfId="1" applyNumberFormat="1" applyFont="1" applyFill="1" applyBorder="1" applyAlignment="1" applyProtection="1">
      <alignment horizontal="right"/>
      <protection locked="0"/>
    </xf>
    <xf numFmtId="0" fontId="5" fillId="5" borderId="0" xfId="0" applyFont="1" applyFill="1" applyBorder="1" applyProtection="1">
      <protection hidden="1"/>
    </xf>
    <xf numFmtId="0" fontId="29" fillId="5" borderId="24" xfId="0" applyFont="1" applyFill="1" applyBorder="1" applyProtection="1">
      <protection hidden="1"/>
    </xf>
    <xf numFmtId="165" fontId="16" fillId="5" borderId="25" xfId="0" applyNumberFormat="1" applyFont="1" applyFill="1" applyBorder="1" applyAlignment="1" applyProtection="1">
      <alignment horizontal="right"/>
      <protection hidden="1"/>
    </xf>
    <xf numFmtId="0" fontId="29" fillId="5" borderId="20" xfId="0" applyFont="1" applyFill="1" applyBorder="1" applyProtection="1">
      <protection hidden="1"/>
    </xf>
    <xf numFmtId="165" fontId="16" fillId="5" borderId="21" xfId="1" applyNumberFormat="1" applyFont="1" applyFill="1" applyBorder="1" applyAlignment="1" applyProtection="1">
      <alignment horizontal="right"/>
      <protection hidden="1"/>
    </xf>
    <xf numFmtId="165" fontId="29" fillId="5" borderId="21" xfId="0" applyNumberFormat="1" applyFont="1" applyFill="1" applyBorder="1" applyProtection="1">
      <protection hidden="1"/>
    </xf>
    <xf numFmtId="167" fontId="29" fillId="5" borderId="21" xfId="0" applyNumberFormat="1" applyFont="1" applyFill="1" applyBorder="1" applyAlignment="1" applyProtection="1">
      <alignment horizontal="right"/>
      <protection hidden="1"/>
    </xf>
    <xf numFmtId="165" fontId="5" fillId="5" borderId="0" xfId="0" applyNumberFormat="1" applyFont="1" applyFill="1" applyProtection="1">
      <protection hidden="1"/>
    </xf>
    <xf numFmtId="0" fontId="29" fillId="5" borderId="22" xfId="0" applyFont="1" applyFill="1" applyBorder="1" applyProtection="1">
      <protection hidden="1"/>
    </xf>
    <xf numFmtId="167" fontId="29" fillId="5" borderId="23" xfId="0" applyNumberFormat="1" applyFont="1" applyFill="1" applyBorder="1" applyAlignment="1" applyProtection="1">
      <alignment horizontal="right"/>
      <protection hidden="1"/>
    </xf>
    <xf numFmtId="168" fontId="5" fillId="5" borderId="0" xfId="0" applyNumberFormat="1" applyFont="1" applyFill="1" applyProtection="1">
      <protection hidden="1"/>
    </xf>
    <xf numFmtId="0" fontId="28" fillId="12" borderId="29" xfId="0" applyFont="1" applyFill="1" applyBorder="1" applyAlignment="1" applyProtection="1">
      <alignment horizontal="center"/>
      <protection hidden="1"/>
    </xf>
    <xf numFmtId="0" fontId="28" fillId="12" borderId="30" xfId="0" applyFont="1" applyFill="1" applyBorder="1" applyAlignment="1" applyProtection="1">
      <alignment horizontal="center"/>
      <protection hidden="1"/>
    </xf>
    <xf numFmtId="0" fontId="28" fillId="12" borderId="31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165" fontId="5" fillId="5" borderId="0" xfId="1" applyNumberFormat="1" applyFont="1" applyFill="1" applyProtection="1">
      <protection hidden="1"/>
    </xf>
    <xf numFmtId="43" fontId="5" fillId="5" borderId="0" xfId="0" applyNumberFormat="1" applyFont="1" applyFill="1" applyProtection="1">
      <protection hidden="1"/>
    </xf>
    <xf numFmtId="0" fontId="5" fillId="5" borderId="20" xfId="0" applyFont="1" applyFill="1" applyBorder="1" applyAlignment="1" applyProtection="1">
      <alignment horizontal="center"/>
      <protection hidden="1"/>
    </xf>
    <xf numFmtId="8" fontId="5" fillId="5" borderId="0" xfId="0" applyNumberFormat="1" applyFont="1" applyFill="1" applyProtection="1">
      <protection hidden="1"/>
    </xf>
    <xf numFmtId="0" fontId="5" fillId="5" borderId="32" xfId="0" applyFont="1" applyFill="1" applyBorder="1" applyAlignment="1" applyProtection="1">
      <alignment horizontal="center"/>
      <protection hidden="1"/>
    </xf>
    <xf numFmtId="167" fontId="28" fillId="12" borderId="30" xfId="0" applyNumberFormat="1" applyFont="1" applyFill="1" applyBorder="1" applyProtection="1">
      <protection hidden="1"/>
    </xf>
    <xf numFmtId="167" fontId="28" fillId="12" borderId="30" xfId="1" applyNumberFormat="1" applyFont="1" applyFill="1" applyBorder="1" applyProtection="1">
      <protection hidden="1"/>
    </xf>
    <xf numFmtId="167" fontId="28" fillId="12" borderId="31" xfId="0" applyNumberFormat="1" applyFont="1" applyFill="1" applyBorder="1" applyProtection="1">
      <protection hidden="1"/>
    </xf>
    <xf numFmtId="0" fontId="28" fillId="12" borderId="38" xfId="0" applyFont="1" applyFill="1" applyBorder="1" applyAlignment="1" applyProtection="1">
      <alignment horizontal="center"/>
      <protection hidden="1"/>
    </xf>
    <xf numFmtId="0" fontId="28" fillId="12" borderId="35" xfId="0" applyFont="1" applyFill="1" applyBorder="1" applyAlignment="1" applyProtection="1">
      <alignment horizontal="center"/>
      <protection hidden="1"/>
    </xf>
    <xf numFmtId="0" fontId="28" fillId="12" borderId="36" xfId="0" applyFont="1" applyFill="1" applyBorder="1" applyAlignment="1" applyProtection="1">
      <alignment horizont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41" fontId="5" fillId="5" borderId="0" xfId="7" applyNumberFormat="1" applyFont="1" applyFill="1" applyBorder="1"/>
    <xf numFmtId="0" fontId="5" fillId="5" borderId="0" xfId="7" applyFont="1" applyFill="1" applyBorder="1"/>
    <xf numFmtId="165" fontId="5" fillId="5" borderId="0" xfId="4" applyNumberFormat="1" applyFont="1" applyFill="1" applyBorder="1" applyAlignment="1">
      <alignment horizontal="center"/>
    </xf>
    <xf numFmtId="10" fontId="5" fillId="5" borderId="0" xfId="7" applyNumberFormat="1" applyFont="1" applyFill="1" applyBorder="1"/>
    <xf numFmtId="9" fontId="5" fillId="5" borderId="0" xfId="2" applyFont="1" applyFill="1"/>
    <xf numFmtId="41" fontId="5" fillId="5" borderId="0" xfId="0" applyNumberFormat="1" applyFont="1" applyFill="1" applyBorder="1"/>
    <xf numFmtId="0" fontId="6" fillId="16" borderId="3" xfId="7" applyFont="1" applyFill="1" applyBorder="1" applyAlignment="1">
      <alignment horizontal="center"/>
    </xf>
    <xf numFmtId="9" fontId="5" fillId="5" borderId="2" xfId="2" applyNumberFormat="1" applyFont="1" applyFill="1" applyBorder="1"/>
    <xf numFmtId="41" fontId="5" fillId="5" borderId="2" xfId="0" applyNumberFormat="1" applyFont="1" applyFill="1" applyBorder="1"/>
    <xf numFmtId="0" fontId="6" fillId="16" borderId="3" xfId="7" applyFont="1" applyFill="1" applyBorder="1" applyAlignment="1">
      <alignment horizontal="left"/>
    </xf>
    <xf numFmtId="165" fontId="9" fillId="0" borderId="0" xfId="1" applyNumberFormat="1" applyFont="1" applyFill="1" applyBorder="1"/>
    <xf numFmtId="165" fontId="32" fillId="3" borderId="0" xfId="1" applyNumberFormat="1" applyFont="1" applyFill="1" applyBorder="1" applyAlignment="1">
      <alignment horizontal="left"/>
    </xf>
    <xf numFmtId="165" fontId="32" fillId="3" borderId="0" xfId="1" applyNumberFormat="1" applyFont="1" applyFill="1" applyBorder="1" applyAlignment="1">
      <alignment horizontal="left" vertical="top"/>
    </xf>
    <xf numFmtId="41" fontId="5" fillId="5" borderId="12" xfId="8" applyFont="1" applyFill="1" applyBorder="1"/>
    <xf numFmtId="165" fontId="9" fillId="6" borderId="0" xfId="1" applyNumberFormat="1" applyFont="1" applyFill="1" applyBorder="1"/>
    <xf numFmtId="165" fontId="5" fillId="6" borderId="0" xfId="1" applyNumberFormat="1" applyFont="1" applyFill="1" applyBorder="1" applyAlignment="1">
      <alignment horizontal="center" vertical="top"/>
    </xf>
    <xf numFmtId="165" fontId="9" fillId="6" borderId="0" xfId="1" applyNumberFormat="1" applyFont="1" applyFill="1" applyBorder="1" applyAlignment="1">
      <alignment vertical="top"/>
    </xf>
    <xf numFmtId="164" fontId="9" fillId="6" borderId="0" xfId="1" applyNumberFormat="1" applyFont="1" applyFill="1" applyBorder="1" applyAlignment="1">
      <alignment vertical="top"/>
    </xf>
    <xf numFmtId="165" fontId="9" fillId="5" borderId="0" xfId="1" applyNumberFormat="1" applyFont="1" applyFill="1" applyBorder="1"/>
    <xf numFmtId="165" fontId="5" fillId="5" borderId="0" xfId="1" applyNumberFormat="1" applyFont="1" applyFill="1" applyAlignment="1">
      <alignment horizontal="left"/>
    </xf>
    <xf numFmtId="165" fontId="16" fillId="7" borderId="0" xfId="1" applyNumberFormat="1" applyFont="1" applyFill="1" applyBorder="1"/>
    <xf numFmtId="165" fontId="5" fillId="5" borderId="0" xfId="1" applyNumberFormat="1" applyFont="1" applyFill="1" applyAlignment="1">
      <alignment horizontal="left" wrapText="1"/>
    </xf>
    <xf numFmtId="165" fontId="9" fillId="17" borderId="0" xfId="1" applyNumberFormat="1" applyFont="1" applyFill="1" applyAlignment="1">
      <alignment horizontal="center" vertical="center"/>
    </xf>
    <xf numFmtId="165" fontId="5" fillId="18" borderId="0" xfId="1" applyNumberFormat="1" applyFont="1" applyFill="1" applyBorder="1"/>
    <xf numFmtId="165" fontId="33" fillId="18" borderId="0" xfId="1" applyNumberFormat="1" applyFont="1" applyFill="1" applyBorder="1"/>
    <xf numFmtId="165" fontId="34" fillId="18" borderId="0" xfId="1" applyNumberFormat="1" applyFont="1" applyFill="1" applyBorder="1"/>
    <xf numFmtId="9" fontId="21" fillId="5" borderId="0" xfId="2" applyFont="1" applyFill="1" applyBorder="1"/>
    <xf numFmtId="165" fontId="21" fillId="3" borderId="0" xfId="1" applyNumberFormat="1" applyFont="1" applyFill="1" applyBorder="1"/>
    <xf numFmtId="41" fontId="21" fillId="7" borderId="0" xfId="8" applyFont="1" applyFill="1"/>
    <xf numFmtId="165" fontId="5" fillId="17" borderId="0" xfId="1" applyNumberFormat="1" applyFont="1" applyFill="1"/>
    <xf numFmtId="165" fontId="5" fillId="17" borderId="13" xfId="1" applyNumberFormat="1" applyFont="1" applyFill="1" applyBorder="1"/>
    <xf numFmtId="0" fontId="9" fillId="5" borderId="34" xfId="7" applyFont="1" applyFill="1" applyBorder="1" applyAlignment="1">
      <alignment horizontal="center"/>
    </xf>
    <xf numFmtId="166" fontId="9" fillId="5" borderId="34" xfId="7" applyNumberFormat="1" applyFont="1" applyFill="1" applyBorder="1"/>
    <xf numFmtId="165" fontId="9" fillId="5" borderId="34" xfId="4" applyNumberFormat="1" applyFont="1" applyFill="1" applyBorder="1" applyAlignment="1">
      <alignment horizontal="center"/>
    </xf>
    <xf numFmtId="165" fontId="9" fillId="5" borderId="37" xfId="4" applyNumberFormat="1" applyFont="1" applyFill="1" applyBorder="1" applyAlignment="1">
      <alignment horizontal="center"/>
    </xf>
    <xf numFmtId="166" fontId="9" fillId="5" borderId="37" xfId="7" applyNumberFormat="1" applyFont="1" applyFill="1" applyBorder="1"/>
    <xf numFmtId="0" fontId="6" fillId="16" borderId="8" xfId="7" applyFont="1" applyFill="1" applyBorder="1"/>
    <xf numFmtId="0" fontId="6" fillId="16" borderId="14" xfId="7" applyFont="1" applyFill="1" applyBorder="1" applyAlignment="1">
      <alignment horizontal="center"/>
    </xf>
    <xf numFmtId="41" fontId="9" fillId="5" borderId="9" xfId="7" applyNumberFormat="1" applyFont="1" applyFill="1" applyBorder="1"/>
    <xf numFmtId="165" fontId="5" fillId="5" borderId="10" xfId="4" applyNumberFormat="1" applyFont="1" applyFill="1" applyBorder="1" applyAlignment="1">
      <alignment horizontal="center"/>
    </xf>
    <xf numFmtId="41" fontId="9" fillId="5" borderId="11" xfId="7" applyNumberFormat="1" applyFont="1" applyFill="1" applyBorder="1"/>
    <xf numFmtId="165" fontId="5" fillId="5" borderId="2" xfId="4" applyNumberFormat="1" applyFont="1" applyFill="1" applyBorder="1" applyAlignment="1">
      <alignment horizontal="center"/>
    </xf>
    <xf numFmtId="165" fontId="5" fillId="5" borderId="12" xfId="4" applyNumberFormat="1" applyFont="1" applyFill="1" applyBorder="1" applyAlignment="1">
      <alignment horizontal="center"/>
    </xf>
    <xf numFmtId="9" fontId="9" fillId="5" borderId="0" xfId="2" applyFont="1" applyFill="1" applyAlignment="1">
      <alignment horizontal="center"/>
    </xf>
    <xf numFmtId="165" fontId="9" fillId="17" borderId="0" xfId="1" applyNumberFormat="1" applyFont="1" applyFill="1"/>
    <xf numFmtId="165" fontId="2" fillId="5" borderId="0" xfId="1" applyNumberFormat="1" applyFont="1" applyFill="1"/>
    <xf numFmtId="0" fontId="2" fillId="5" borderId="0" xfId="0" applyFont="1" applyFill="1"/>
    <xf numFmtId="0" fontId="35" fillId="5" borderId="0" xfId="0" applyFont="1" applyFill="1"/>
    <xf numFmtId="0" fontId="35" fillId="5" borderId="0" xfId="0" applyFont="1" applyFill="1" applyAlignment="1">
      <alignment vertical="center"/>
    </xf>
    <xf numFmtId="0" fontId="35" fillId="5" borderId="15" xfId="0" applyFont="1" applyFill="1" applyBorder="1" applyAlignment="1">
      <alignment horizontal="center" vertical="center"/>
    </xf>
    <xf numFmtId="165" fontId="35" fillId="14" borderId="15" xfId="1" applyNumberFormat="1" applyFont="1" applyFill="1" applyBorder="1" applyAlignment="1">
      <alignment vertical="center"/>
    </xf>
    <xf numFmtId="165" fontId="39" fillId="14" borderId="15" xfId="1" applyNumberFormat="1" applyFont="1" applyFill="1" applyBorder="1" applyAlignment="1">
      <alignment vertical="center"/>
    </xf>
    <xf numFmtId="165" fontId="39" fillId="14" borderId="15" xfId="1" applyNumberFormat="1" applyFont="1" applyFill="1" applyBorder="1"/>
    <xf numFmtId="165" fontId="2" fillId="14" borderId="15" xfId="1" applyNumberFormat="1" applyFont="1" applyFill="1" applyBorder="1"/>
    <xf numFmtId="165" fontId="35" fillId="14" borderId="15" xfId="1" applyNumberFormat="1" applyFont="1" applyFill="1" applyBorder="1"/>
    <xf numFmtId="165" fontId="2" fillId="14" borderId="5" xfId="1" applyNumberFormat="1" applyFont="1" applyFill="1" applyBorder="1"/>
    <xf numFmtId="165" fontId="2" fillId="14" borderId="4" xfId="1" applyNumberFormat="1" applyFont="1" applyFill="1" applyBorder="1"/>
    <xf numFmtId="0" fontId="35" fillId="5" borderId="37" xfId="0" applyFont="1" applyFill="1" applyBorder="1" applyAlignment="1">
      <alignment horizontal="center" vertical="center"/>
    </xf>
    <xf numFmtId="165" fontId="10" fillId="19" borderId="5" xfId="1" applyNumberFormat="1" applyFont="1" applyFill="1" applyBorder="1"/>
    <xf numFmtId="165" fontId="10" fillId="19" borderId="6" xfId="1" applyNumberFormat="1" applyFont="1" applyFill="1" applyBorder="1"/>
    <xf numFmtId="165" fontId="10" fillId="19" borderId="7" xfId="1" applyNumberFormat="1" applyFont="1" applyFill="1" applyBorder="1" applyAlignment="1">
      <alignment horizontal="right"/>
    </xf>
    <xf numFmtId="165" fontId="10" fillId="14" borderId="6" xfId="1" applyNumberFormat="1" applyFont="1" applyFill="1" applyBorder="1"/>
    <xf numFmtId="165" fontId="2" fillId="14" borderId="7" xfId="1" applyNumberFormat="1" applyFont="1" applyFill="1" applyBorder="1"/>
    <xf numFmtId="165" fontId="36" fillId="19" borderId="5" xfId="1" applyNumberFormat="1" applyFont="1" applyFill="1" applyBorder="1"/>
    <xf numFmtId="165" fontId="10" fillId="19" borderId="6" xfId="1" applyNumberFormat="1" applyFont="1" applyFill="1" applyBorder="1" applyAlignment="1">
      <alignment horizontal="right"/>
    </xf>
    <xf numFmtId="165" fontId="10" fillId="19" borderId="7" xfId="1" applyNumberFormat="1" applyFont="1" applyFill="1" applyBorder="1"/>
    <xf numFmtId="165" fontId="35" fillId="14" borderId="5" xfId="1" applyNumberFormat="1" applyFont="1" applyFill="1" applyBorder="1" applyAlignment="1">
      <alignment vertical="center"/>
    </xf>
    <xf numFmtId="0" fontId="35" fillId="5" borderId="7" xfId="0" applyFont="1" applyFill="1" applyBorder="1" applyAlignment="1">
      <alignment horizontal="center" vertical="center"/>
    </xf>
    <xf numFmtId="165" fontId="35" fillId="14" borderId="7" xfId="1" applyNumberFormat="1" applyFont="1" applyFill="1" applyBorder="1" applyAlignment="1">
      <alignment vertical="center"/>
    </xf>
    <xf numFmtId="9" fontId="5" fillId="0" borderId="0" xfId="0" applyNumberFormat="1" applyFont="1"/>
    <xf numFmtId="1" fontId="5" fillId="0" borderId="0" xfId="0" applyNumberFormat="1" applyFont="1"/>
    <xf numFmtId="165" fontId="21" fillId="0" borderId="0" xfId="1" applyNumberFormat="1" applyFont="1" applyFill="1"/>
    <xf numFmtId="165" fontId="5" fillId="5" borderId="37" xfId="1" applyNumberFormat="1" applyFont="1" applyFill="1" applyBorder="1" applyProtection="1">
      <protection hidden="1"/>
    </xf>
    <xf numFmtId="165" fontId="5" fillId="5" borderId="25" xfId="1" applyNumberFormat="1" applyFont="1" applyFill="1" applyBorder="1" applyProtection="1">
      <protection hidden="1"/>
    </xf>
    <xf numFmtId="165" fontId="5" fillId="5" borderId="15" xfId="1" applyNumberFormat="1" applyFont="1" applyFill="1" applyBorder="1" applyProtection="1">
      <protection hidden="1"/>
    </xf>
    <xf numFmtId="165" fontId="5" fillId="5" borderId="33" xfId="1" applyNumberFormat="1" applyFont="1" applyFill="1" applyBorder="1" applyProtection="1">
      <protection hidden="1"/>
    </xf>
    <xf numFmtId="165" fontId="5" fillId="5" borderId="4" xfId="1" applyNumberFormat="1" applyFont="1" applyFill="1" applyBorder="1" applyProtection="1">
      <protection hidden="1"/>
    </xf>
    <xf numFmtId="0" fontId="24" fillId="0" borderId="0" xfId="0" applyFont="1"/>
    <xf numFmtId="165" fontId="24" fillId="0" borderId="0" xfId="0" applyNumberFormat="1" applyFont="1"/>
    <xf numFmtId="0" fontId="18" fillId="0" borderId="0" xfId="0" applyFont="1"/>
    <xf numFmtId="165" fontId="18" fillId="0" borderId="0" xfId="0" applyNumberFormat="1" applyFont="1"/>
    <xf numFmtId="165" fontId="39" fillId="5" borderId="5" xfId="1" applyNumberFormat="1" applyFont="1" applyFill="1" applyBorder="1" applyAlignment="1">
      <alignment horizontal="left" vertical="center" wrapText="1"/>
    </xf>
    <xf numFmtId="165" fontId="39" fillId="5" borderId="6" xfId="1" applyNumberFormat="1" applyFont="1" applyFill="1" applyBorder="1" applyAlignment="1">
      <alignment horizontal="left" vertical="center" wrapText="1"/>
    </xf>
    <xf numFmtId="165" fontId="39" fillId="5" borderId="7" xfId="1" applyNumberFormat="1" applyFont="1" applyFill="1" applyBorder="1" applyAlignment="1">
      <alignment horizontal="left" vertical="center" wrapText="1"/>
    </xf>
    <xf numFmtId="165" fontId="43" fillId="5" borderId="5" xfId="1" applyNumberFormat="1" applyFont="1" applyFill="1" applyBorder="1" applyAlignment="1">
      <alignment horizontal="right" vertical="top" wrapText="1"/>
    </xf>
    <xf numFmtId="165" fontId="43" fillId="5" borderId="6" xfId="1" applyNumberFormat="1" applyFont="1" applyFill="1" applyBorder="1" applyAlignment="1">
      <alignment horizontal="right" vertical="top" wrapText="1"/>
    </xf>
    <xf numFmtId="165" fontId="43" fillId="5" borderId="7" xfId="1" applyNumberFormat="1" applyFont="1" applyFill="1" applyBorder="1" applyAlignment="1">
      <alignment horizontal="right" vertical="top" wrapText="1"/>
    </xf>
    <xf numFmtId="165" fontId="40" fillId="5" borderId="5" xfId="1" applyNumberFormat="1" applyFont="1" applyFill="1" applyBorder="1" applyAlignment="1">
      <alignment horizontal="right" vertical="center" wrapText="1"/>
    </xf>
    <xf numFmtId="165" fontId="40" fillId="5" borderId="6" xfId="1" applyNumberFormat="1" applyFont="1" applyFill="1" applyBorder="1" applyAlignment="1">
      <alignment horizontal="right" vertical="center"/>
    </xf>
    <xf numFmtId="165" fontId="40" fillId="5" borderId="7" xfId="1" applyNumberFormat="1" applyFont="1" applyFill="1" applyBorder="1" applyAlignment="1">
      <alignment horizontal="right" vertical="center"/>
    </xf>
    <xf numFmtId="165" fontId="38" fillId="5" borderId="5" xfId="1" applyNumberFormat="1" applyFont="1" applyFill="1" applyBorder="1" applyAlignment="1">
      <alignment horizontal="left" vertical="center" wrapText="1"/>
    </xf>
    <xf numFmtId="165" fontId="38" fillId="5" borderId="6" xfId="1" applyNumberFormat="1" applyFont="1" applyFill="1" applyBorder="1" applyAlignment="1">
      <alignment horizontal="left" vertical="center" wrapText="1"/>
    </xf>
    <xf numFmtId="165" fontId="38" fillId="5" borderId="7" xfId="1" applyNumberFormat="1" applyFont="1" applyFill="1" applyBorder="1" applyAlignment="1">
      <alignment horizontal="left" vertical="center" wrapText="1"/>
    </xf>
    <xf numFmtId="165" fontId="35" fillId="5" borderId="5" xfId="1" applyNumberFormat="1" applyFont="1" applyFill="1" applyBorder="1" applyAlignment="1">
      <alignment horizontal="left" vertical="center" wrapText="1"/>
    </xf>
    <xf numFmtId="165" fontId="35" fillId="5" borderId="6" xfId="1" applyNumberFormat="1" applyFont="1" applyFill="1" applyBorder="1" applyAlignment="1">
      <alignment horizontal="left" vertical="center" wrapText="1"/>
    </xf>
    <xf numFmtId="165" fontId="35" fillId="5" borderId="7" xfId="1" applyNumberFormat="1" applyFont="1" applyFill="1" applyBorder="1" applyAlignment="1">
      <alignment horizontal="left" vertical="center" wrapText="1"/>
    </xf>
    <xf numFmtId="165" fontId="46" fillId="5" borderId="15" xfId="1" applyNumberFormat="1" applyFont="1" applyFill="1" applyBorder="1" applyAlignment="1">
      <alignment vertical="center" wrapText="1"/>
    </xf>
    <xf numFmtId="165" fontId="39" fillId="5" borderId="15" xfId="1" applyNumberFormat="1" applyFont="1" applyFill="1" applyBorder="1" applyAlignment="1">
      <alignment horizontal="left" vertical="center" wrapText="1"/>
    </xf>
    <xf numFmtId="165" fontId="46" fillId="5" borderId="5" xfId="1" applyNumberFormat="1" applyFont="1" applyFill="1" applyBorder="1" applyAlignment="1">
      <alignment horizontal="right" vertical="center" wrapText="1"/>
    </xf>
    <xf numFmtId="165" fontId="46" fillId="5" borderId="6" xfId="1" applyNumberFormat="1" applyFont="1" applyFill="1" applyBorder="1" applyAlignment="1">
      <alignment horizontal="right" vertical="center" wrapText="1"/>
    </xf>
    <xf numFmtId="165" fontId="46" fillId="5" borderId="7" xfId="1" applyNumberFormat="1" applyFont="1" applyFill="1" applyBorder="1" applyAlignment="1">
      <alignment horizontal="right" vertical="center" wrapText="1"/>
    </xf>
    <xf numFmtId="165" fontId="35" fillId="5" borderId="37" xfId="1" applyNumberFormat="1" applyFont="1" applyFill="1" applyBorder="1" applyAlignment="1">
      <alignment horizontal="left" vertical="center" wrapText="1"/>
    </xf>
    <xf numFmtId="165" fontId="37" fillId="5" borderId="15" xfId="1" applyNumberFormat="1" applyFont="1" applyFill="1" applyBorder="1" applyAlignment="1">
      <alignment horizontal="left" vertical="center" wrapText="1"/>
    </xf>
    <xf numFmtId="165" fontId="40" fillId="5" borderId="34" xfId="1" applyNumberFormat="1" applyFont="1" applyFill="1" applyBorder="1" applyAlignment="1">
      <alignment vertical="center" wrapText="1"/>
    </xf>
    <xf numFmtId="165" fontId="41" fillId="5" borderId="37" xfId="1" applyNumberFormat="1" applyFont="1" applyFill="1" applyBorder="1" applyAlignment="1">
      <alignment horizontal="right" vertical="center" wrapText="1"/>
    </xf>
    <xf numFmtId="165" fontId="42" fillId="5" borderId="4" xfId="1" applyNumberFormat="1" applyFont="1" applyFill="1" applyBorder="1" applyAlignment="1">
      <alignment horizontal="right" vertical="center" wrapText="1"/>
    </xf>
    <xf numFmtId="165" fontId="40" fillId="0" borderId="15" xfId="1" applyNumberFormat="1" applyFont="1" applyFill="1" applyBorder="1" applyAlignment="1">
      <alignment horizontal="right" vertical="center" wrapText="1"/>
    </xf>
    <xf numFmtId="165" fontId="35" fillId="5" borderId="15" xfId="1" applyNumberFormat="1" applyFont="1" applyFill="1" applyBorder="1" applyAlignment="1">
      <alignment horizontal="left" vertical="center" wrapText="1"/>
    </xf>
    <xf numFmtId="165" fontId="44" fillId="3" borderId="0" xfId="1" applyNumberFormat="1" applyFont="1" applyFill="1" applyBorder="1" applyAlignment="1">
      <alignment horizontal="left" vertical="center"/>
    </xf>
    <xf numFmtId="165" fontId="5" fillId="7" borderId="6" xfId="1" applyNumberFormat="1" applyFont="1" applyFill="1" applyBorder="1" applyAlignment="1">
      <alignment horizontal="left"/>
    </xf>
    <xf numFmtId="165" fontId="6" fillId="7" borderId="0" xfId="1" applyNumberFormat="1" applyFont="1" applyFill="1" applyAlignment="1">
      <alignment horizontal="center"/>
    </xf>
    <xf numFmtId="0" fontId="28" fillId="12" borderId="26" xfId="0" applyFont="1" applyFill="1" applyBorder="1" applyAlignment="1" applyProtection="1">
      <alignment horizontal="center"/>
      <protection hidden="1"/>
    </xf>
    <xf numFmtId="0" fontId="28" fillId="12" borderId="27" xfId="0" applyFont="1" applyFill="1" applyBorder="1" applyAlignment="1" applyProtection="1">
      <alignment horizontal="center"/>
      <protection hidden="1"/>
    </xf>
    <xf numFmtId="0" fontId="28" fillId="12" borderId="28" xfId="0" applyFont="1" applyFill="1" applyBorder="1" applyAlignment="1" applyProtection="1">
      <alignment horizontal="center"/>
      <protection hidden="1"/>
    </xf>
    <xf numFmtId="0" fontId="11" fillId="12" borderId="5" xfId="6" applyFont="1" applyFill="1" applyBorder="1" applyAlignment="1" applyProtection="1">
      <alignment horizontal="left" vertical="center"/>
      <protection hidden="1"/>
    </xf>
    <xf numFmtId="0" fontId="11" fillId="12" borderId="6" xfId="6" applyFont="1" applyFill="1" applyBorder="1" applyAlignment="1" applyProtection="1">
      <alignment horizontal="left" vertical="center"/>
      <protection hidden="1"/>
    </xf>
    <xf numFmtId="0" fontId="11" fillId="12" borderId="7" xfId="6" applyFont="1" applyFill="1" applyBorder="1" applyAlignment="1" applyProtection="1">
      <alignment horizontal="left" vertical="center"/>
      <protection hidden="1"/>
    </xf>
    <xf numFmtId="0" fontId="5" fillId="5" borderId="15" xfId="6" applyFont="1" applyFill="1" applyBorder="1" applyAlignment="1" applyProtection="1">
      <alignment horizontal="left" vertical="center" wrapText="1"/>
      <protection hidden="1"/>
    </xf>
    <xf numFmtId="0" fontId="28" fillId="12" borderId="16" xfId="0" applyFont="1" applyFill="1" applyBorder="1" applyAlignment="1" applyProtection="1">
      <alignment horizontal="left"/>
      <protection hidden="1"/>
    </xf>
    <xf numFmtId="0" fontId="28" fillId="12" borderId="17" xfId="0" applyFont="1" applyFill="1" applyBorder="1" applyAlignment="1" applyProtection="1">
      <alignment horizontal="left"/>
      <protection hidden="1"/>
    </xf>
    <xf numFmtId="0" fontId="28" fillId="12" borderId="29" xfId="0" applyFont="1" applyFill="1" applyBorder="1" applyAlignment="1" applyProtection="1">
      <alignment horizontal="center"/>
      <protection hidden="1"/>
    </xf>
    <xf numFmtId="0" fontId="28" fillId="12" borderId="30" xfId="0" applyFont="1" applyFill="1" applyBorder="1" applyAlignment="1" applyProtection="1">
      <alignment horizontal="center"/>
      <protection hidden="1"/>
    </xf>
    <xf numFmtId="0" fontId="28" fillId="12" borderId="31" xfId="0" applyFont="1" applyFill="1" applyBorder="1" applyAlignment="1" applyProtection="1">
      <alignment horizontal="center"/>
      <protection hidden="1"/>
    </xf>
    <xf numFmtId="0" fontId="31" fillId="12" borderId="5" xfId="6" applyFont="1" applyFill="1" applyBorder="1" applyAlignment="1" applyProtection="1">
      <alignment horizontal="left" vertical="center"/>
      <protection hidden="1"/>
    </xf>
    <xf numFmtId="0" fontId="31" fillId="12" borderId="6" xfId="6" applyFont="1" applyFill="1" applyBorder="1" applyAlignment="1" applyProtection="1">
      <alignment horizontal="left" vertical="center"/>
      <protection hidden="1"/>
    </xf>
    <xf numFmtId="0" fontId="31" fillId="12" borderId="7" xfId="6" applyFont="1" applyFill="1" applyBorder="1" applyAlignment="1" applyProtection="1">
      <alignment horizontal="left" vertical="center"/>
      <protection hidden="1"/>
    </xf>
  </cellXfs>
  <cellStyles count="9">
    <cellStyle name="Comma" xfId="1" builtinId="3"/>
    <cellStyle name="Comma [0]" xfId="8" builtinId="6"/>
    <cellStyle name="Comma 2" xfId="4"/>
    <cellStyle name="Normal" xfId="0" builtinId="0"/>
    <cellStyle name="Normal 3" xfId="6"/>
    <cellStyle name="Normal_financials - Health and Fitness Bplan Omar haq-3" xfId="7"/>
    <cellStyle name="Percent" xfId="2" builtinId="5"/>
    <cellStyle name="Percent 2" xfId="5"/>
    <cellStyle name="yameen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Revenue,</a:t>
            </a:r>
            <a:r>
              <a:rPr lang="en-US" baseline="0"/>
              <a:t> Cost of Sales, Gross Profit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Analysis'!$B$74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Analysis'!$D$52:$M$52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'Financial Analysis'!$D$74:$M$74</c:f>
              <c:numCache>
                <c:formatCode>_(* #,##0_);_(* \(#,##0\);_(* "-"??_);_(@_)</c:formatCode>
                <c:ptCount val="10"/>
                <c:pt idx="0">
                  <c:v>7788000</c:v>
                </c:pt>
                <c:pt idx="1">
                  <c:v>9425900</c:v>
                </c:pt>
                <c:pt idx="2">
                  <c:v>11167090</c:v>
                </c:pt>
                <c:pt idx="3">
                  <c:v>13162259.000000004</c:v>
                </c:pt>
                <c:pt idx="4">
                  <c:v>15444790.900000006</c:v>
                </c:pt>
                <c:pt idx="5">
                  <c:v>18052206.590000007</c:v>
                </c:pt>
                <c:pt idx="6">
                  <c:v>21026657.509000011</c:v>
                </c:pt>
                <c:pt idx="7">
                  <c:v>24415476.545900017</c:v>
                </c:pt>
                <c:pt idx="8">
                  <c:v>26880603.677400019</c:v>
                </c:pt>
                <c:pt idx="9">
                  <c:v>29568664.045140024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6E-4627-A3C9-4A5DE5394B0B}"/>
            </c:ext>
          </c:extLst>
        </c:ser>
        <c:ser>
          <c:idx val="1"/>
          <c:order val="1"/>
          <c:tx>
            <c:strRef>
              <c:f>'Financial Analysis'!$B$82</c:f>
              <c:strCache>
                <c:ptCount val="1"/>
                <c:pt idx="0">
                  <c:v>Total Cost of Sales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'Financial Analysis'!$D$52:$M$52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'Financial Analysis'!$D$82:$M$82</c:f>
              <c:numCache>
                <c:formatCode>_(* #,##0_);_(* \(#,##0\);_(* "-"??_);_(@_)</c:formatCode>
                <c:ptCount val="10"/>
                <c:pt idx="0">
                  <c:v>4850625</c:v>
                </c:pt>
                <c:pt idx="1">
                  <c:v>5738390.625</c:v>
                </c:pt>
                <c:pt idx="2">
                  <c:v>6686573.4375</c:v>
                </c:pt>
                <c:pt idx="3">
                  <c:v>7767008.9062500019</c:v>
                </c:pt>
                <c:pt idx="4">
                  <c:v>8996665.7343750037</c:v>
                </c:pt>
                <c:pt idx="5">
                  <c:v>10394583.839062504</c:v>
                </c:pt>
                <c:pt idx="6">
                  <c:v>11982118.907343755</c:v>
                </c:pt>
                <c:pt idx="7">
                  <c:v>13783215.150890637</c:v>
                </c:pt>
                <c:pt idx="8">
                  <c:v>15172589.54578126</c:v>
                </c:pt>
                <c:pt idx="9">
                  <c:v>16689848.50035939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6E-4627-A3C9-4A5DE5394B0B}"/>
            </c:ext>
          </c:extLst>
        </c:ser>
        <c:ser>
          <c:idx val="2"/>
          <c:order val="2"/>
          <c:tx>
            <c:strRef>
              <c:f>'Financial Analysis'!$B$83</c:f>
              <c:strCache>
                <c:ptCount val="1"/>
                <c:pt idx="0">
                  <c:v>Gross Profit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'Financial Analysis'!$D$52:$M$52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'Financial Analysis'!$D$83:$M$83</c:f>
              <c:numCache>
                <c:formatCode>_(* #,##0_);_(* \(#,##0\);_(* "-"??_);_(@_)</c:formatCode>
                <c:ptCount val="10"/>
                <c:pt idx="0">
                  <c:v>2937375</c:v>
                </c:pt>
                <c:pt idx="1">
                  <c:v>3687509.375</c:v>
                </c:pt>
                <c:pt idx="2">
                  <c:v>4480516.5625</c:v>
                </c:pt>
                <c:pt idx="3">
                  <c:v>5395250.0937500019</c:v>
                </c:pt>
                <c:pt idx="4">
                  <c:v>6448125.1656250022</c:v>
                </c:pt>
                <c:pt idx="5">
                  <c:v>7657622.7509375028</c:v>
                </c:pt>
                <c:pt idx="6">
                  <c:v>9044538.6016562562</c:v>
                </c:pt>
                <c:pt idx="7">
                  <c:v>10632261.39500938</c:v>
                </c:pt>
                <c:pt idx="8">
                  <c:v>11708014.131618759</c:v>
                </c:pt>
                <c:pt idx="9">
                  <c:v>12878815.544780634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6E-4627-A3C9-4A5DE5394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531584"/>
        <c:axId val="204517072"/>
      </c:barChart>
      <c:catAx>
        <c:axId val="2045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17072"/>
        <c:crosses val="autoZero"/>
        <c:auto val="1"/>
        <c:lblAlgn val="ctr"/>
        <c:lblOffset val="100"/>
        <c:noMultiLvlLbl val="0"/>
      </c:catAx>
      <c:valAx>
        <c:axId val="20451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3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Finance Structure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42F-421A-83E5-F29C3237BBF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42F-421A-83E5-F29C3237BB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'Financial Analysis'!$B$26:$B$27</c:f>
              <c:strCache>
                <c:ptCount val="2"/>
                <c:pt idx="0">
                  <c:v>Debt</c:v>
                </c:pt>
                <c:pt idx="1">
                  <c:v>Equity</c:v>
                </c:pt>
              </c:strCache>
            </c:strRef>
          </c:cat>
          <c:val>
            <c:numRef>
              <c:f>'Financial Analysis'!$D$26:$D$27</c:f>
              <c:numCache>
                <c:formatCode>_(* #,##0_);_(* \(#,##0\);_(* "-"??_);_(@_)</c:formatCode>
                <c:ptCount val="2"/>
                <c:pt idx="0">
                  <c:v>1741482.8217727907</c:v>
                </c:pt>
                <c:pt idx="1">
                  <c:v>1741482.8217727907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2F-421A-83E5-F29C3237BBF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Accounting Equation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30-4C4C-AD46-7B264681F6B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30-4C4C-AD46-7B264681F6B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30-4C4C-AD46-7B264681F6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'Financial Analysis'!$Q$142:$Q$144</c:f>
              <c:strCache>
                <c:ptCount val="3"/>
                <c:pt idx="0">
                  <c:v>Total Assets</c:v>
                </c:pt>
                <c:pt idx="1">
                  <c:v>Total Laibilities</c:v>
                </c:pt>
                <c:pt idx="2">
                  <c:v>Total Equity</c:v>
                </c:pt>
              </c:strCache>
            </c:strRef>
          </c:cat>
          <c:val>
            <c:numRef>
              <c:f>'Financial Analysis'!$R$142:$R$144</c:f>
              <c:numCache>
                <c:formatCode>_(* #,##0_);_(* \(#,##0\);_(* "-"??_);_(@_)</c:formatCode>
                <c:ptCount val="3"/>
                <c:pt idx="0">
                  <c:v>3482966</c:v>
                </c:pt>
                <c:pt idx="1">
                  <c:v>1741482.8217708922</c:v>
                </c:pt>
                <c:pt idx="2">
                  <c:v>1741482.8217715099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B30-4C4C-AD46-7B264681F6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N$9" fmlaRange="$M$9:$M$10" val="0"/>
</file>

<file path=xl/ctrlProps/ctrlProp2.xml><?xml version="1.0" encoding="utf-8"?>
<formControlPr xmlns="http://schemas.microsoft.com/office/spreadsheetml/2009/9/main" objectType="Drop" dropStyle="combo" dx="16" fmlaLink="$N$9" fmlaRange="$M$9:$M$10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</xdr:row>
      <xdr:rowOff>-1</xdr:rowOff>
    </xdr:from>
    <xdr:to>
      <xdr:col>12</xdr:col>
      <xdr:colOff>676275</xdr:colOff>
      <xdr:row>26</xdr:row>
      <xdr:rowOff>149678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219075</xdr:colOff>
      <xdr:row>28</xdr:row>
      <xdr:rowOff>9525</xdr:rowOff>
    </xdr:from>
    <xdr:to>
      <xdr:col>8</xdr:col>
      <xdr:colOff>371475</xdr:colOff>
      <xdr:row>46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581025</xdr:colOff>
      <xdr:row>28</xdr:row>
      <xdr:rowOff>9524</xdr:rowOff>
    </xdr:from>
    <xdr:to>
      <xdr:col>12</xdr:col>
      <xdr:colOff>657225</xdr:colOff>
      <xdr:row>45</xdr:row>
      <xdr:rowOff>200024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47625</xdr:rowOff>
        </xdr:from>
        <xdr:to>
          <xdr:col>2</xdr:col>
          <xdr:colOff>1038225</xdr:colOff>
          <xdr:row>11</xdr:row>
          <xdr:rowOff>333375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38100</xdr:rowOff>
        </xdr:from>
        <xdr:to>
          <xdr:col>2</xdr:col>
          <xdr:colOff>1038225</xdr:colOff>
          <xdr:row>11</xdr:row>
          <xdr:rowOff>333375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6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fitToPage="1"/>
  </sheetPr>
  <dimension ref="B2:P26"/>
  <sheetViews>
    <sheetView zoomScale="137" zoomScaleNormal="115" workbookViewId="0">
      <selection activeCell="D11" sqref="D11:H11"/>
    </sheetView>
  </sheetViews>
  <sheetFormatPr defaultColWidth="8.85546875" defaultRowHeight="12.75" x14ac:dyDescent="0.2"/>
  <cols>
    <col min="1" max="1" width="8.85546875" style="289"/>
    <col min="2" max="2" width="1" style="289" customWidth="1"/>
    <col min="3" max="3" width="4.42578125" style="289" customWidth="1"/>
    <col min="4" max="8" width="8.85546875" style="289"/>
    <col min="9" max="9" width="1" style="289" customWidth="1"/>
    <col min="10" max="14" width="8.85546875" style="289"/>
    <col min="15" max="15" width="4.42578125" style="289" customWidth="1"/>
    <col min="16" max="16" width="1" style="289" customWidth="1"/>
    <col min="17" max="16384" width="8.85546875" style="289"/>
  </cols>
  <sheetData>
    <row r="2" spans="2:16" ht="6" customHeight="1" x14ac:dyDescent="0.2">
      <c r="B2" s="296"/>
      <c r="C2" s="299"/>
      <c r="D2" s="299"/>
      <c r="E2" s="299"/>
      <c r="F2" s="299"/>
      <c r="G2" s="299"/>
      <c r="H2" s="299"/>
      <c r="I2" s="296"/>
      <c r="J2" s="299"/>
      <c r="K2" s="299"/>
      <c r="L2" s="299"/>
      <c r="M2" s="299"/>
      <c r="N2" s="299"/>
      <c r="O2" s="299"/>
      <c r="P2" s="296"/>
    </row>
    <row r="3" spans="2:16" ht="28.5" x14ac:dyDescent="0.7">
      <c r="B3" s="298"/>
      <c r="C3" s="301" t="s">
        <v>206</v>
      </c>
      <c r="D3" s="302"/>
      <c r="E3" s="302"/>
      <c r="F3" s="302"/>
      <c r="G3" s="302"/>
      <c r="H3" s="303" t="s">
        <v>6</v>
      </c>
      <c r="I3" s="304"/>
      <c r="J3" s="306" t="s">
        <v>207</v>
      </c>
      <c r="K3" s="302"/>
      <c r="L3" s="302"/>
      <c r="M3" s="302"/>
      <c r="N3" s="307" t="s">
        <v>6</v>
      </c>
      <c r="O3" s="308"/>
      <c r="P3" s="305"/>
    </row>
    <row r="4" spans="2:16" s="291" customFormat="1" ht="44.1" customHeight="1" x14ac:dyDescent="0.2">
      <c r="B4" s="293"/>
      <c r="C4" s="300">
        <v>1</v>
      </c>
      <c r="D4" s="344" t="s">
        <v>360</v>
      </c>
      <c r="E4" s="344"/>
      <c r="F4" s="344"/>
      <c r="G4" s="344"/>
      <c r="H4" s="344"/>
      <c r="I4" s="293"/>
      <c r="J4" s="346" t="s">
        <v>334</v>
      </c>
      <c r="K4" s="346"/>
      <c r="L4" s="346"/>
      <c r="M4" s="346"/>
      <c r="N4" s="346"/>
      <c r="O4" s="300">
        <v>1</v>
      </c>
      <c r="P4" s="293"/>
    </row>
    <row r="5" spans="2:16" s="291" customFormat="1" ht="51" customHeight="1" x14ac:dyDescent="0.2">
      <c r="B5" s="293"/>
      <c r="C5" s="292">
        <v>2</v>
      </c>
      <c r="D5" s="350" t="s">
        <v>361</v>
      </c>
      <c r="E5" s="350"/>
      <c r="F5" s="350"/>
      <c r="G5" s="350"/>
      <c r="H5" s="350"/>
      <c r="I5" s="309"/>
      <c r="J5" s="349" t="s">
        <v>368</v>
      </c>
      <c r="K5" s="349"/>
      <c r="L5" s="349"/>
      <c r="M5" s="349"/>
      <c r="N5" s="349"/>
      <c r="O5" s="310">
        <v>2</v>
      </c>
      <c r="P5" s="293"/>
    </row>
    <row r="6" spans="2:16" s="291" customFormat="1" ht="54.75" customHeight="1" x14ac:dyDescent="0.2">
      <c r="B6" s="293"/>
      <c r="C6" s="300">
        <v>3</v>
      </c>
      <c r="D6" s="345" t="s">
        <v>358</v>
      </c>
      <c r="E6" s="345"/>
      <c r="F6" s="345"/>
      <c r="G6" s="345"/>
      <c r="H6" s="345"/>
      <c r="I6" s="293"/>
      <c r="J6" s="347" t="s">
        <v>364</v>
      </c>
      <c r="K6" s="347"/>
      <c r="L6" s="347"/>
      <c r="M6" s="347"/>
      <c r="N6" s="347"/>
      <c r="O6" s="300">
        <v>3</v>
      </c>
      <c r="P6" s="293"/>
    </row>
    <row r="7" spans="2:16" s="291" customFormat="1" ht="44.1" customHeight="1" x14ac:dyDescent="0.2">
      <c r="B7" s="293"/>
      <c r="C7" s="292">
        <v>4</v>
      </c>
      <c r="D7" s="333" t="s">
        <v>359</v>
      </c>
      <c r="E7" s="334"/>
      <c r="F7" s="334"/>
      <c r="G7" s="334"/>
      <c r="H7" s="335"/>
      <c r="I7" s="293"/>
      <c r="J7" s="348" t="s">
        <v>363</v>
      </c>
      <c r="K7" s="348"/>
      <c r="L7" s="348"/>
      <c r="M7" s="348"/>
      <c r="N7" s="348"/>
      <c r="O7" s="310">
        <v>4</v>
      </c>
      <c r="P7" s="293"/>
    </row>
    <row r="8" spans="2:16" s="291" customFormat="1" ht="48" customHeight="1" x14ac:dyDescent="0.2">
      <c r="B8" s="293"/>
      <c r="C8" s="300">
        <v>5</v>
      </c>
      <c r="D8" s="336" t="s">
        <v>366</v>
      </c>
      <c r="E8" s="337"/>
      <c r="F8" s="337"/>
      <c r="G8" s="337"/>
      <c r="H8" s="338"/>
      <c r="I8" s="309"/>
      <c r="J8" s="330" t="s">
        <v>367</v>
      </c>
      <c r="K8" s="331"/>
      <c r="L8" s="331"/>
      <c r="M8" s="331"/>
      <c r="N8" s="332"/>
      <c r="O8" s="300">
        <v>5</v>
      </c>
      <c r="P8" s="311"/>
    </row>
    <row r="9" spans="2:16" s="291" customFormat="1" ht="44.1" customHeight="1" x14ac:dyDescent="0.2">
      <c r="B9" s="293"/>
      <c r="C9" s="300">
        <v>6</v>
      </c>
      <c r="D9" s="340" t="s">
        <v>369</v>
      </c>
      <c r="E9" s="340"/>
      <c r="F9" s="340"/>
      <c r="G9" s="340"/>
      <c r="H9" s="340"/>
      <c r="I9" s="294"/>
      <c r="J9" s="339" t="s">
        <v>370</v>
      </c>
      <c r="K9" s="339"/>
      <c r="L9" s="339"/>
      <c r="M9" s="339"/>
      <c r="N9" s="339"/>
      <c r="O9" s="310">
        <v>6</v>
      </c>
      <c r="P9" s="293"/>
    </row>
    <row r="10" spans="2:16" s="291" customFormat="1" ht="44.1" customHeight="1" x14ac:dyDescent="0.2">
      <c r="B10" s="293"/>
      <c r="C10" s="300">
        <v>7</v>
      </c>
      <c r="D10" s="340" t="s">
        <v>371</v>
      </c>
      <c r="E10" s="340"/>
      <c r="F10" s="340"/>
      <c r="G10" s="340"/>
      <c r="H10" s="340"/>
      <c r="I10" s="294"/>
      <c r="J10" s="341" t="s">
        <v>373</v>
      </c>
      <c r="K10" s="342"/>
      <c r="L10" s="342"/>
      <c r="M10" s="342"/>
      <c r="N10" s="343"/>
      <c r="O10" s="310">
        <v>7</v>
      </c>
      <c r="P10" s="293"/>
    </row>
    <row r="11" spans="2:16" s="291" customFormat="1" ht="44.1" customHeight="1" x14ac:dyDescent="0.2">
      <c r="B11" s="293"/>
      <c r="C11" s="300">
        <v>8</v>
      </c>
      <c r="D11" s="324" t="s">
        <v>372</v>
      </c>
      <c r="E11" s="325"/>
      <c r="F11" s="325"/>
      <c r="G11" s="325"/>
      <c r="H11" s="326"/>
      <c r="I11" s="294"/>
      <c r="J11" s="341" t="s">
        <v>374</v>
      </c>
      <c r="K11" s="342"/>
      <c r="L11" s="342"/>
      <c r="M11" s="342"/>
      <c r="N11" s="343"/>
      <c r="O11" s="310">
        <v>8</v>
      </c>
      <c r="P11" s="293"/>
    </row>
    <row r="12" spans="2:16" s="290" customFormat="1" ht="60.95" customHeight="1" x14ac:dyDescent="0.2">
      <c r="B12" s="297"/>
      <c r="C12" s="324" t="s">
        <v>362</v>
      </c>
      <c r="D12" s="325"/>
      <c r="E12" s="325"/>
      <c r="F12" s="325"/>
      <c r="G12" s="325"/>
      <c r="H12" s="326"/>
      <c r="I12" s="295"/>
      <c r="J12" s="327" t="s">
        <v>335</v>
      </c>
      <c r="K12" s="328"/>
      <c r="L12" s="328"/>
      <c r="M12" s="328"/>
      <c r="N12" s="328"/>
      <c r="O12" s="329"/>
      <c r="P12" s="297"/>
    </row>
    <row r="13" spans="2:16" ht="6" customHeight="1" x14ac:dyDescent="0.2"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</row>
    <row r="14" spans="2:16" x14ac:dyDescent="0.2"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</row>
    <row r="15" spans="2:16" x14ac:dyDescent="0.2"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</row>
    <row r="16" spans="2:16" x14ac:dyDescent="0.2"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</row>
    <row r="17" spans="2:16" x14ac:dyDescent="0.2"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</row>
    <row r="18" spans="2:16" x14ac:dyDescent="0.2"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</row>
    <row r="19" spans="2:16" x14ac:dyDescent="0.2"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</row>
    <row r="20" spans="2:16" x14ac:dyDescent="0.2"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</row>
    <row r="21" spans="2:16" x14ac:dyDescent="0.2"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</row>
    <row r="22" spans="2:16" x14ac:dyDescent="0.2"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</row>
    <row r="23" spans="2:16" x14ac:dyDescent="0.2"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</row>
    <row r="24" spans="2:16" x14ac:dyDescent="0.2"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</row>
    <row r="25" spans="2:16" x14ac:dyDescent="0.2"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</row>
    <row r="26" spans="2:16" ht="9" customHeight="1" x14ac:dyDescent="0.2"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</row>
  </sheetData>
  <sheetProtection algorithmName="SHA-512" hashValue="GWmU4RZkVUzzNcF2HcWxMP3eDcMX3+F6zXTfdMbTkh0Ma1+r0jlAJdJO4tPcKs85DQxQDbicvY76Ot/JoK/m7Q==" saltValue="2Yij63cAs0OLpmybJjsSKA==" spinCount="100000" sheet="1" formatCells="0" formatColumns="0" formatRows="0" insertColumns="0" insertRows="0" insertHyperlinks="0" deleteColumns="0" deleteRows="0" sort="0" autoFilter="0" pivotTables="0"/>
  <mergeCells count="18">
    <mergeCell ref="D4:H4"/>
    <mergeCell ref="D6:H6"/>
    <mergeCell ref="J4:N4"/>
    <mergeCell ref="J6:N6"/>
    <mergeCell ref="J7:N7"/>
    <mergeCell ref="J5:N5"/>
    <mergeCell ref="D5:H5"/>
    <mergeCell ref="C12:H12"/>
    <mergeCell ref="J12:O12"/>
    <mergeCell ref="J8:N8"/>
    <mergeCell ref="D7:H7"/>
    <mergeCell ref="D8:H8"/>
    <mergeCell ref="J9:N9"/>
    <mergeCell ref="D9:H9"/>
    <mergeCell ref="D10:H10"/>
    <mergeCell ref="D11:H11"/>
    <mergeCell ref="J10:N10"/>
    <mergeCell ref="J11:N1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2:H106"/>
  <sheetViews>
    <sheetView tabSelected="1" zoomScale="145" zoomScaleNormal="145" zoomScaleSheetLayoutView="100" workbookViewId="0">
      <selection activeCell="D102" sqref="D102"/>
    </sheetView>
  </sheetViews>
  <sheetFormatPr defaultColWidth="8.85546875" defaultRowHeight="12.75" x14ac:dyDescent="0.2"/>
  <cols>
    <col min="1" max="1" width="1" style="19" customWidth="1"/>
    <col min="2" max="2" width="29.7109375" style="19" customWidth="1"/>
    <col min="3" max="3" width="14.42578125" style="19" bestFit="1" customWidth="1"/>
    <col min="4" max="4" width="15" style="19" customWidth="1"/>
    <col min="5" max="5" width="14.42578125" style="19" bestFit="1" customWidth="1"/>
    <col min="6" max="6" width="45.85546875" style="19" bestFit="1" customWidth="1"/>
    <col min="7" max="7" width="1" style="19" customWidth="1"/>
    <col min="8" max="8" width="31.140625" style="2" bestFit="1" customWidth="1"/>
    <col min="9" max="256" width="9.140625" style="2"/>
    <col min="257" max="257" width="1.42578125" style="2" customWidth="1"/>
    <col min="258" max="258" width="29.7109375" style="2" customWidth="1"/>
    <col min="259" max="259" width="19.7109375" style="2" customWidth="1"/>
    <col min="260" max="261" width="15" style="2" customWidth="1"/>
    <col min="262" max="262" width="39.7109375" style="2" customWidth="1"/>
    <col min="263" max="263" width="1.42578125" style="2" customWidth="1"/>
    <col min="264" max="512" width="9.140625" style="2"/>
    <col min="513" max="513" width="1.42578125" style="2" customWidth="1"/>
    <col min="514" max="514" width="29.7109375" style="2" customWidth="1"/>
    <col min="515" max="515" width="19.7109375" style="2" customWidth="1"/>
    <col min="516" max="517" width="15" style="2" customWidth="1"/>
    <col min="518" max="518" width="39.7109375" style="2" customWidth="1"/>
    <col min="519" max="519" width="1.42578125" style="2" customWidth="1"/>
    <col min="520" max="768" width="9.140625" style="2"/>
    <col min="769" max="769" width="1.42578125" style="2" customWidth="1"/>
    <col min="770" max="770" width="29.7109375" style="2" customWidth="1"/>
    <col min="771" max="771" width="19.7109375" style="2" customWidth="1"/>
    <col min="772" max="773" width="15" style="2" customWidth="1"/>
    <col min="774" max="774" width="39.7109375" style="2" customWidth="1"/>
    <col min="775" max="775" width="1.42578125" style="2" customWidth="1"/>
    <col min="776" max="1024" width="9.140625" style="2"/>
    <col min="1025" max="1025" width="1.42578125" style="2" customWidth="1"/>
    <col min="1026" max="1026" width="29.7109375" style="2" customWidth="1"/>
    <col min="1027" max="1027" width="19.7109375" style="2" customWidth="1"/>
    <col min="1028" max="1029" width="15" style="2" customWidth="1"/>
    <col min="1030" max="1030" width="39.7109375" style="2" customWidth="1"/>
    <col min="1031" max="1031" width="1.42578125" style="2" customWidth="1"/>
    <col min="1032" max="1280" width="9.140625" style="2"/>
    <col min="1281" max="1281" width="1.42578125" style="2" customWidth="1"/>
    <col min="1282" max="1282" width="29.7109375" style="2" customWidth="1"/>
    <col min="1283" max="1283" width="19.7109375" style="2" customWidth="1"/>
    <col min="1284" max="1285" width="15" style="2" customWidth="1"/>
    <col min="1286" max="1286" width="39.7109375" style="2" customWidth="1"/>
    <col min="1287" max="1287" width="1.42578125" style="2" customWidth="1"/>
    <col min="1288" max="1536" width="9.140625" style="2"/>
    <col min="1537" max="1537" width="1.42578125" style="2" customWidth="1"/>
    <col min="1538" max="1538" width="29.7109375" style="2" customWidth="1"/>
    <col min="1539" max="1539" width="19.7109375" style="2" customWidth="1"/>
    <col min="1540" max="1541" width="15" style="2" customWidth="1"/>
    <col min="1542" max="1542" width="39.7109375" style="2" customWidth="1"/>
    <col min="1543" max="1543" width="1.42578125" style="2" customWidth="1"/>
    <col min="1544" max="1792" width="9.140625" style="2"/>
    <col min="1793" max="1793" width="1.42578125" style="2" customWidth="1"/>
    <col min="1794" max="1794" width="29.7109375" style="2" customWidth="1"/>
    <col min="1795" max="1795" width="19.7109375" style="2" customWidth="1"/>
    <col min="1796" max="1797" width="15" style="2" customWidth="1"/>
    <col min="1798" max="1798" width="39.7109375" style="2" customWidth="1"/>
    <col min="1799" max="1799" width="1.42578125" style="2" customWidth="1"/>
    <col min="1800" max="2048" width="9.140625" style="2"/>
    <col min="2049" max="2049" width="1.42578125" style="2" customWidth="1"/>
    <col min="2050" max="2050" width="29.7109375" style="2" customWidth="1"/>
    <col min="2051" max="2051" width="19.7109375" style="2" customWidth="1"/>
    <col min="2052" max="2053" width="15" style="2" customWidth="1"/>
    <col min="2054" max="2054" width="39.7109375" style="2" customWidth="1"/>
    <col min="2055" max="2055" width="1.42578125" style="2" customWidth="1"/>
    <col min="2056" max="2304" width="9.140625" style="2"/>
    <col min="2305" max="2305" width="1.42578125" style="2" customWidth="1"/>
    <col min="2306" max="2306" width="29.7109375" style="2" customWidth="1"/>
    <col min="2307" max="2307" width="19.7109375" style="2" customWidth="1"/>
    <col min="2308" max="2309" width="15" style="2" customWidth="1"/>
    <col min="2310" max="2310" width="39.7109375" style="2" customWidth="1"/>
    <col min="2311" max="2311" width="1.42578125" style="2" customWidth="1"/>
    <col min="2312" max="2560" width="9.140625" style="2"/>
    <col min="2561" max="2561" width="1.42578125" style="2" customWidth="1"/>
    <col min="2562" max="2562" width="29.7109375" style="2" customWidth="1"/>
    <col min="2563" max="2563" width="19.7109375" style="2" customWidth="1"/>
    <col min="2564" max="2565" width="15" style="2" customWidth="1"/>
    <col min="2566" max="2566" width="39.7109375" style="2" customWidth="1"/>
    <col min="2567" max="2567" width="1.42578125" style="2" customWidth="1"/>
    <col min="2568" max="2816" width="9.140625" style="2"/>
    <col min="2817" max="2817" width="1.42578125" style="2" customWidth="1"/>
    <col min="2818" max="2818" width="29.7109375" style="2" customWidth="1"/>
    <col min="2819" max="2819" width="19.7109375" style="2" customWidth="1"/>
    <col min="2820" max="2821" width="15" style="2" customWidth="1"/>
    <col min="2822" max="2822" width="39.7109375" style="2" customWidth="1"/>
    <col min="2823" max="2823" width="1.42578125" style="2" customWidth="1"/>
    <col min="2824" max="3072" width="9.140625" style="2"/>
    <col min="3073" max="3073" width="1.42578125" style="2" customWidth="1"/>
    <col min="3074" max="3074" width="29.7109375" style="2" customWidth="1"/>
    <col min="3075" max="3075" width="19.7109375" style="2" customWidth="1"/>
    <col min="3076" max="3077" width="15" style="2" customWidth="1"/>
    <col min="3078" max="3078" width="39.7109375" style="2" customWidth="1"/>
    <col min="3079" max="3079" width="1.42578125" style="2" customWidth="1"/>
    <col min="3080" max="3328" width="9.140625" style="2"/>
    <col min="3329" max="3329" width="1.42578125" style="2" customWidth="1"/>
    <col min="3330" max="3330" width="29.7109375" style="2" customWidth="1"/>
    <col min="3331" max="3331" width="19.7109375" style="2" customWidth="1"/>
    <col min="3332" max="3333" width="15" style="2" customWidth="1"/>
    <col min="3334" max="3334" width="39.7109375" style="2" customWidth="1"/>
    <col min="3335" max="3335" width="1.42578125" style="2" customWidth="1"/>
    <col min="3336" max="3584" width="9.140625" style="2"/>
    <col min="3585" max="3585" width="1.42578125" style="2" customWidth="1"/>
    <col min="3586" max="3586" width="29.7109375" style="2" customWidth="1"/>
    <col min="3587" max="3587" width="19.7109375" style="2" customWidth="1"/>
    <col min="3588" max="3589" width="15" style="2" customWidth="1"/>
    <col min="3590" max="3590" width="39.7109375" style="2" customWidth="1"/>
    <col min="3591" max="3591" width="1.42578125" style="2" customWidth="1"/>
    <col min="3592" max="3840" width="9.140625" style="2"/>
    <col min="3841" max="3841" width="1.42578125" style="2" customWidth="1"/>
    <col min="3842" max="3842" width="29.7109375" style="2" customWidth="1"/>
    <col min="3843" max="3843" width="19.7109375" style="2" customWidth="1"/>
    <col min="3844" max="3845" width="15" style="2" customWidth="1"/>
    <col min="3846" max="3846" width="39.7109375" style="2" customWidth="1"/>
    <col min="3847" max="3847" width="1.42578125" style="2" customWidth="1"/>
    <col min="3848" max="4096" width="9.140625" style="2"/>
    <col min="4097" max="4097" width="1.42578125" style="2" customWidth="1"/>
    <col min="4098" max="4098" width="29.7109375" style="2" customWidth="1"/>
    <col min="4099" max="4099" width="19.7109375" style="2" customWidth="1"/>
    <col min="4100" max="4101" width="15" style="2" customWidth="1"/>
    <col min="4102" max="4102" width="39.7109375" style="2" customWidth="1"/>
    <col min="4103" max="4103" width="1.42578125" style="2" customWidth="1"/>
    <col min="4104" max="4352" width="9.140625" style="2"/>
    <col min="4353" max="4353" width="1.42578125" style="2" customWidth="1"/>
    <col min="4354" max="4354" width="29.7109375" style="2" customWidth="1"/>
    <col min="4355" max="4355" width="19.7109375" style="2" customWidth="1"/>
    <col min="4356" max="4357" width="15" style="2" customWidth="1"/>
    <col min="4358" max="4358" width="39.7109375" style="2" customWidth="1"/>
    <col min="4359" max="4359" width="1.42578125" style="2" customWidth="1"/>
    <col min="4360" max="4608" width="9.140625" style="2"/>
    <col min="4609" max="4609" width="1.42578125" style="2" customWidth="1"/>
    <col min="4610" max="4610" width="29.7109375" style="2" customWidth="1"/>
    <col min="4611" max="4611" width="19.7109375" style="2" customWidth="1"/>
    <col min="4612" max="4613" width="15" style="2" customWidth="1"/>
    <col min="4614" max="4614" width="39.7109375" style="2" customWidth="1"/>
    <col min="4615" max="4615" width="1.42578125" style="2" customWidth="1"/>
    <col min="4616" max="4864" width="9.140625" style="2"/>
    <col min="4865" max="4865" width="1.42578125" style="2" customWidth="1"/>
    <col min="4866" max="4866" width="29.7109375" style="2" customWidth="1"/>
    <col min="4867" max="4867" width="19.7109375" style="2" customWidth="1"/>
    <col min="4868" max="4869" width="15" style="2" customWidth="1"/>
    <col min="4870" max="4870" width="39.7109375" style="2" customWidth="1"/>
    <col min="4871" max="4871" width="1.42578125" style="2" customWidth="1"/>
    <col min="4872" max="5120" width="9.140625" style="2"/>
    <col min="5121" max="5121" width="1.42578125" style="2" customWidth="1"/>
    <col min="5122" max="5122" width="29.7109375" style="2" customWidth="1"/>
    <col min="5123" max="5123" width="19.7109375" style="2" customWidth="1"/>
    <col min="5124" max="5125" width="15" style="2" customWidth="1"/>
    <col min="5126" max="5126" width="39.7109375" style="2" customWidth="1"/>
    <col min="5127" max="5127" width="1.42578125" style="2" customWidth="1"/>
    <col min="5128" max="5376" width="9.140625" style="2"/>
    <col min="5377" max="5377" width="1.42578125" style="2" customWidth="1"/>
    <col min="5378" max="5378" width="29.7109375" style="2" customWidth="1"/>
    <col min="5379" max="5379" width="19.7109375" style="2" customWidth="1"/>
    <col min="5380" max="5381" width="15" style="2" customWidth="1"/>
    <col min="5382" max="5382" width="39.7109375" style="2" customWidth="1"/>
    <col min="5383" max="5383" width="1.42578125" style="2" customWidth="1"/>
    <col min="5384" max="5632" width="9.140625" style="2"/>
    <col min="5633" max="5633" width="1.42578125" style="2" customWidth="1"/>
    <col min="5634" max="5634" width="29.7109375" style="2" customWidth="1"/>
    <col min="5635" max="5635" width="19.7109375" style="2" customWidth="1"/>
    <col min="5636" max="5637" width="15" style="2" customWidth="1"/>
    <col min="5638" max="5638" width="39.7109375" style="2" customWidth="1"/>
    <col min="5639" max="5639" width="1.42578125" style="2" customWidth="1"/>
    <col min="5640" max="5888" width="9.140625" style="2"/>
    <col min="5889" max="5889" width="1.42578125" style="2" customWidth="1"/>
    <col min="5890" max="5890" width="29.7109375" style="2" customWidth="1"/>
    <col min="5891" max="5891" width="19.7109375" style="2" customWidth="1"/>
    <col min="5892" max="5893" width="15" style="2" customWidth="1"/>
    <col min="5894" max="5894" width="39.7109375" style="2" customWidth="1"/>
    <col min="5895" max="5895" width="1.42578125" style="2" customWidth="1"/>
    <col min="5896" max="6144" width="9.140625" style="2"/>
    <col min="6145" max="6145" width="1.42578125" style="2" customWidth="1"/>
    <col min="6146" max="6146" width="29.7109375" style="2" customWidth="1"/>
    <col min="6147" max="6147" width="19.7109375" style="2" customWidth="1"/>
    <col min="6148" max="6149" width="15" style="2" customWidth="1"/>
    <col min="6150" max="6150" width="39.7109375" style="2" customWidth="1"/>
    <col min="6151" max="6151" width="1.42578125" style="2" customWidth="1"/>
    <col min="6152" max="6400" width="9.140625" style="2"/>
    <col min="6401" max="6401" width="1.42578125" style="2" customWidth="1"/>
    <col min="6402" max="6402" width="29.7109375" style="2" customWidth="1"/>
    <col min="6403" max="6403" width="19.7109375" style="2" customWidth="1"/>
    <col min="6404" max="6405" width="15" style="2" customWidth="1"/>
    <col min="6406" max="6406" width="39.7109375" style="2" customWidth="1"/>
    <col min="6407" max="6407" width="1.42578125" style="2" customWidth="1"/>
    <col min="6408" max="6656" width="9.140625" style="2"/>
    <col min="6657" max="6657" width="1.42578125" style="2" customWidth="1"/>
    <col min="6658" max="6658" width="29.7109375" style="2" customWidth="1"/>
    <col min="6659" max="6659" width="19.7109375" style="2" customWidth="1"/>
    <col min="6660" max="6661" width="15" style="2" customWidth="1"/>
    <col min="6662" max="6662" width="39.7109375" style="2" customWidth="1"/>
    <col min="6663" max="6663" width="1.42578125" style="2" customWidth="1"/>
    <col min="6664" max="6912" width="9.140625" style="2"/>
    <col min="6913" max="6913" width="1.42578125" style="2" customWidth="1"/>
    <col min="6914" max="6914" width="29.7109375" style="2" customWidth="1"/>
    <col min="6915" max="6915" width="19.7109375" style="2" customWidth="1"/>
    <col min="6916" max="6917" width="15" style="2" customWidth="1"/>
    <col min="6918" max="6918" width="39.7109375" style="2" customWidth="1"/>
    <col min="6919" max="6919" width="1.42578125" style="2" customWidth="1"/>
    <col min="6920" max="7168" width="9.140625" style="2"/>
    <col min="7169" max="7169" width="1.42578125" style="2" customWidth="1"/>
    <col min="7170" max="7170" width="29.7109375" style="2" customWidth="1"/>
    <col min="7171" max="7171" width="19.7109375" style="2" customWidth="1"/>
    <col min="7172" max="7173" width="15" style="2" customWidth="1"/>
    <col min="7174" max="7174" width="39.7109375" style="2" customWidth="1"/>
    <col min="7175" max="7175" width="1.42578125" style="2" customWidth="1"/>
    <col min="7176" max="7424" width="9.140625" style="2"/>
    <col min="7425" max="7425" width="1.42578125" style="2" customWidth="1"/>
    <col min="7426" max="7426" width="29.7109375" style="2" customWidth="1"/>
    <col min="7427" max="7427" width="19.7109375" style="2" customWidth="1"/>
    <col min="7428" max="7429" width="15" style="2" customWidth="1"/>
    <col min="7430" max="7430" width="39.7109375" style="2" customWidth="1"/>
    <col min="7431" max="7431" width="1.42578125" style="2" customWidth="1"/>
    <col min="7432" max="7680" width="9.140625" style="2"/>
    <col min="7681" max="7681" width="1.42578125" style="2" customWidth="1"/>
    <col min="7682" max="7682" width="29.7109375" style="2" customWidth="1"/>
    <col min="7683" max="7683" width="19.7109375" style="2" customWidth="1"/>
    <col min="7684" max="7685" width="15" style="2" customWidth="1"/>
    <col min="7686" max="7686" width="39.7109375" style="2" customWidth="1"/>
    <col min="7687" max="7687" width="1.42578125" style="2" customWidth="1"/>
    <col min="7688" max="7936" width="9.140625" style="2"/>
    <col min="7937" max="7937" width="1.42578125" style="2" customWidth="1"/>
    <col min="7938" max="7938" width="29.7109375" style="2" customWidth="1"/>
    <col min="7939" max="7939" width="19.7109375" style="2" customWidth="1"/>
    <col min="7940" max="7941" width="15" style="2" customWidth="1"/>
    <col min="7942" max="7942" width="39.7109375" style="2" customWidth="1"/>
    <col min="7943" max="7943" width="1.42578125" style="2" customWidth="1"/>
    <col min="7944" max="8192" width="9.140625" style="2"/>
    <col min="8193" max="8193" width="1.42578125" style="2" customWidth="1"/>
    <col min="8194" max="8194" width="29.7109375" style="2" customWidth="1"/>
    <col min="8195" max="8195" width="19.7109375" style="2" customWidth="1"/>
    <col min="8196" max="8197" width="15" style="2" customWidth="1"/>
    <col min="8198" max="8198" width="39.7109375" style="2" customWidth="1"/>
    <col min="8199" max="8199" width="1.42578125" style="2" customWidth="1"/>
    <col min="8200" max="8448" width="9.140625" style="2"/>
    <col min="8449" max="8449" width="1.42578125" style="2" customWidth="1"/>
    <col min="8450" max="8450" width="29.7109375" style="2" customWidth="1"/>
    <col min="8451" max="8451" width="19.7109375" style="2" customWidth="1"/>
    <col min="8452" max="8453" width="15" style="2" customWidth="1"/>
    <col min="8454" max="8454" width="39.7109375" style="2" customWidth="1"/>
    <col min="8455" max="8455" width="1.42578125" style="2" customWidth="1"/>
    <col min="8456" max="8704" width="9.140625" style="2"/>
    <col min="8705" max="8705" width="1.42578125" style="2" customWidth="1"/>
    <col min="8706" max="8706" width="29.7109375" style="2" customWidth="1"/>
    <col min="8707" max="8707" width="19.7109375" style="2" customWidth="1"/>
    <col min="8708" max="8709" width="15" style="2" customWidth="1"/>
    <col min="8710" max="8710" width="39.7109375" style="2" customWidth="1"/>
    <col min="8711" max="8711" width="1.42578125" style="2" customWidth="1"/>
    <col min="8712" max="8960" width="9.140625" style="2"/>
    <col min="8961" max="8961" width="1.42578125" style="2" customWidth="1"/>
    <col min="8962" max="8962" width="29.7109375" style="2" customWidth="1"/>
    <col min="8963" max="8963" width="19.7109375" style="2" customWidth="1"/>
    <col min="8964" max="8965" width="15" style="2" customWidth="1"/>
    <col min="8966" max="8966" width="39.7109375" style="2" customWidth="1"/>
    <col min="8967" max="8967" width="1.42578125" style="2" customWidth="1"/>
    <col min="8968" max="9216" width="9.140625" style="2"/>
    <col min="9217" max="9217" width="1.42578125" style="2" customWidth="1"/>
    <col min="9218" max="9218" width="29.7109375" style="2" customWidth="1"/>
    <col min="9219" max="9219" width="19.7109375" style="2" customWidth="1"/>
    <col min="9220" max="9221" width="15" style="2" customWidth="1"/>
    <col min="9222" max="9222" width="39.7109375" style="2" customWidth="1"/>
    <col min="9223" max="9223" width="1.42578125" style="2" customWidth="1"/>
    <col min="9224" max="9472" width="9.140625" style="2"/>
    <col min="9473" max="9473" width="1.42578125" style="2" customWidth="1"/>
    <col min="9474" max="9474" width="29.7109375" style="2" customWidth="1"/>
    <col min="9475" max="9475" width="19.7109375" style="2" customWidth="1"/>
    <col min="9476" max="9477" width="15" style="2" customWidth="1"/>
    <col min="9478" max="9478" width="39.7109375" style="2" customWidth="1"/>
    <col min="9479" max="9479" width="1.42578125" style="2" customWidth="1"/>
    <col min="9480" max="9728" width="9.140625" style="2"/>
    <col min="9729" max="9729" width="1.42578125" style="2" customWidth="1"/>
    <col min="9730" max="9730" width="29.7109375" style="2" customWidth="1"/>
    <col min="9731" max="9731" width="19.7109375" style="2" customWidth="1"/>
    <col min="9732" max="9733" width="15" style="2" customWidth="1"/>
    <col min="9734" max="9734" width="39.7109375" style="2" customWidth="1"/>
    <col min="9735" max="9735" width="1.42578125" style="2" customWidth="1"/>
    <col min="9736" max="9984" width="9.140625" style="2"/>
    <col min="9985" max="9985" width="1.42578125" style="2" customWidth="1"/>
    <col min="9986" max="9986" width="29.7109375" style="2" customWidth="1"/>
    <col min="9987" max="9987" width="19.7109375" style="2" customWidth="1"/>
    <col min="9988" max="9989" width="15" style="2" customWidth="1"/>
    <col min="9990" max="9990" width="39.7109375" style="2" customWidth="1"/>
    <col min="9991" max="9991" width="1.42578125" style="2" customWidth="1"/>
    <col min="9992" max="10240" width="9.140625" style="2"/>
    <col min="10241" max="10241" width="1.42578125" style="2" customWidth="1"/>
    <col min="10242" max="10242" width="29.7109375" style="2" customWidth="1"/>
    <col min="10243" max="10243" width="19.7109375" style="2" customWidth="1"/>
    <col min="10244" max="10245" width="15" style="2" customWidth="1"/>
    <col min="10246" max="10246" width="39.7109375" style="2" customWidth="1"/>
    <col min="10247" max="10247" width="1.42578125" style="2" customWidth="1"/>
    <col min="10248" max="10496" width="9.140625" style="2"/>
    <col min="10497" max="10497" width="1.42578125" style="2" customWidth="1"/>
    <col min="10498" max="10498" width="29.7109375" style="2" customWidth="1"/>
    <col min="10499" max="10499" width="19.7109375" style="2" customWidth="1"/>
    <col min="10500" max="10501" width="15" style="2" customWidth="1"/>
    <col min="10502" max="10502" width="39.7109375" style="2" customWidth="1"/>
    <col min="10503" max="10503" width="1.42578125" style="2" customWidth="1"/>
    <col min="10504" max="10752" width="9.140625" style="2"/>
    <col min="10753" max="10753" width="1.42578125" style="2" customWidth="1"/>
    <col min="10754" max="10754" width="29.7109375" style="2" customWidth="1"/>
    <col min="10755" max="10755" width="19.7109375" style="2" customWidth="1"/>
    <col min="10756" max="10757" width="15" style="2" customWidth="1"/>
    <col min="10758" max="10758" width="39.7109375" style="2" customWidth="1"/>
    <col min="10759" max="10759" width="1.42578125" style="2" customWidth="1"/>
    <col min="10760" max="11008" width="9.140625" style="2"/>
    <col min="11009" max="11009" width="1.42578125" style="2" customWidth="1"/>
    <col min="11010" max="11010" width="29.7109375" style="2" customWidth="1"/>
    <col min="11011" max="11011" width="19.7109375" style="2" customWidth="1"/>
    <col min="11012" max="11013" width="15" style="2" customWidth="1"/>
    <col min="11014" max="11014" width="39.7109375" style="2" customWidth="1"/>
    <col min="11015" max="11015" width="1.42578125" style="2" customWidth="1"/>
    <col min="11016" max="11264" width="9.140625" style="2"/>
    <col min="11265" max="11265" width="1.42578125" style="2" customWidth="1"/>
    <col min="11266" max="11266" width="29.7109375" style="2" customWidth="1"/>
    <col min="11267" max="11267" width="19.7109375" style="2" customWidth="1"/>
    <col min="11268" max="11269" width="15" style="2" customWidth="1"/>
    <col min="11270" max="11270" width="39.7109375" style="2" customWidth="1"/>
    <col min="11271" max="11271" width="1.42578125" style="2" customWidth="1"/>
    <col min="11272" max="11520" width="9.140625" style="2"/>
    <col min="11521" max="11521" width="1.42578125" style="2" customWidth="1"/>
    <col min="11522" max="11522" width="29.7109375" style="2" customWidth="1"/>
    <col min="11523" max="11523" width="19.7109375" style="2" customWidth="1"/>
    <col min="11524" max="11525" width="15" style="2" customWidth="1"/>
    <col min="11526" max="11526" width="39.7109375" style="2" customWidth="1"/>
    <col min="11527" max="11527" width="1.42578125" style="2" customWidth="1"/>
    <col min="11528" max="11776" width="9.140625" style="2"/>
    <col min="11777" max="11777" width="1.42578125" style="2" customWidth="1"/>
    <col min="11778" max="11778" width="29.7109375" style="2" customWidth="1"/>
    <col min="11779" max="11779" width="19.7109375" style="2" customWidth="1"/>
    <col min="11780" max="11781" width="15" style="2" customWidth="1"/>
    <col min="11782" max="11782" width="39.7109375" style="2" customWidth="1"/>
    <col min="11783" max="11783" width="1.42578125" style="2" customWidth="1"/>
    <col min="11784" max="12032" width="9.140625" style="2"/>
    <col min="12033" max="12033" width="1.42578125" style="2" customWidth="1"/>
    <col min="12034" max="12034" width="29.7109375" style="2" customWidth="1"/>
    <col min="12035" max="12035" width="19.7109375" style="2" customWidth="1"/>
    <col min="12036" max="12037" width="15" style="2" customWidth="1"/>
    <col min="12038" max="12038" width="39.7109375" style="2" customWidth="1"/>
    <col min="12039" max="12039" width="1.42578125" style="2" customWidth="1"/>
    <col min="12040" max="12288" width="9.140625" style="2"/>
    <col min="12289" max="12289" width="1.42578125" style="2" customWidth="1"/>
    <col min="12290" max="12290" width="29.7109375" style="2" customWidth="1"/>
    <col min="12291" max="12291" width="19.7109375" style="2" customWidth="1"/>
    <col min="12292" max="12293" width="15" style="2" customWidth="1"/>
    <col min="12294" max="12294" width="39.7109375" style="2" customWidth="1"/>
    <col min="12295" max="12295" width="1.42578125" style="2" customWidth="1"/>
    <col min="12296" max="12544" width="9.140625" style="2"/>
    <col min="12545" max="12545" width="1.42578125" style="2" customWidth="1"/>
    <col min="12546" max="12546" width="29.7109375" style="2" customWidth="1"/>
    <col min="12547" max="12547" width="19.7109375" style="2" customWidth="1"/>
    <col min="12548" max="12549" width="15" style="2" customWidth="1"/>
    <col min="12550" max="12550" width="39.7109375" style="2" customWidth="1"/>
    <col min="12551" max="12551" width="1.42578125" style="2" customWidth="1"/>
    <col min="12552" max="12800" width="9.140625" style="2"/>
    <col min="12801" max="12801" width="1.42578125" style="2" customWidth="1"/>
    <col min="12802" max="12802" width="29.7109375" style="2" customWidth="1"/>
    <col min="12803" max="12803" width="19.7109375" style="2" customWidth="1"/>
    <col min="12804" max="12805" width="15" style="2" customWidth="1"/>
    <col min="12806" max="12806" width="39.7109375" style="2" customWidth="1"/>
    <col min="12807" max="12807" width="1.42578125" style="2" customWidth="1"/>
    <col min="12808" max="13056" width="9.140625" style="2"/>
    <col min="13057" max="13057" width="1.42578125" style="2" customWidth="1"/>
    <col min="13058" max="13058" width="29.7109375" style="2" customWidth="1"/>
    <col min="13059" max="13059" width="19.7109375" style="2" customWidth="1"/>
    <col min="13060" max="13061" width="15" style="2" customWidth="1"/>
    <col min="13062" max="13062" width="39.7109375" style="2" customWidth="1"/>
    <col min="13063" max="13063" width="1.42578125" style="2" customWidth="1"/>
    <col min="13064" max="13312" width="9.140625" style="2"/>
    <col min="13313" max="13313" width="1.42578125" style="2" customWidth="1"/>
    <col min="13314" max="13314" width="29.7109375" style="2" customWidth="1"/>
    <col min="13315" max="13315" width="19.7109375" style="2" customWidth="1"/>
    <col min="13316" max="13317" width="15" style="2" customWidth="1"/>
    <col min="13318" max="13318" width="39.7109375" style="2" customWidth="1"/>
    <col min="13319" max="13319" width="1.42578125" style="2" customWidth="1"/>
    <col min="13320" max="13568" width="9.140625" style="2"/>
    <col min="13569" max="13569" width="1.42578125" style="2" customWidth="1"/>
    <col min="13570" max="13570" width="29.7109375" style="2" customWidth="1"/>
    <col min="13571" max="13571" width="19.7109375" style="2" customWidth="1"/>
    <col min="13572" max="13573" width="15" style="2" customWidth="1"/>
    <col min="13574" max="13574" width="39.7109375" style="2" customWidth="1"/>
    <col min="13575" max="13575" width="1.42578125" style="2" customWidth="1"/>
    <col min="13576" max="13824" width="9.140625" style="2"/>
    <col min="13825" max="13825" width="1.42578125" style="2" customWidth="1"/>
    <col min="13826" max="13826" width="29.7109375" style="2" customWidth="1"/>
    <col min="13827" max="13827" width="19.7109375" style="2" customWidth="1"/>
    <col min="13828" max="13829" width="15" style="2" customWidth="1"/>
    <col min="13830" max="13830" width="39.7109375" style="2" customWidth="1"/>
    <col min="13831" max="13831" width="1.42578125" style="2" customWidth="1"/>
    <col min="13832" max="14080" width="9.140625" style="2"/>
    <col min="14081" max="14081" width="1.42578125" style="2" customWidth="1"/>
    <col min="14082" max="14082" width="29.7109375" style="2" customWidth="1"/>
    <col min="14083" max="14083" width="19.7109375" style="2" customWidth="1"/>
    <col min="14084" max="14085" width="15" style="2" customWidth="1"/>
    <col min="14086" max="14086" width="39.7109375" style="2" customWidth="1"/>
    <col min="14087" max="14087" width="1.42578125" style="2" customWidth="1"/>
    <col min="14088" max="14336" width="9.140625" style="2"/>
    <col min="14337" max="14337" width="1.42578125" style="2" customWidth="1"/>
    <col min="14338" max="14338" width="29.7109375" style="2" customWidth="1"/>
    <col min="14339" max="14339" width="19.7109375" style="2" customWidth="1"/>
    <col min="14340" max="14341" width="15" style="2" customWidth="1"/>
    <col min="14342" max="14342" width="39.7109375" style="2" customWidth="1"/>
    <col min="14343" max="14343" width="1.42578125" style="2" customWidth="1"/>
    <col min="14344" max="14592" width="9.140625" style="2"/>
    <col min="14593" max="14593" width="1.42578125" style="2" customWidth="1"/>
    <col min="14594" max="14594" width="29.7109375" style="2" customWidth="1"/>
    <col min="14595" max="14595" width="19.7109375" style="2" customWidth="1"/>
    <col min="14596" max="14597" width="15" style="2" customWidth="1"/>
    <col min="14598" max="14598" width="39.7109375" style="2" customWidth="1"/>
    <col min="14599" max="14599" width="1.42578125" style="2" customWidth="1"/>
    <col min="14600" max="14848" width="9.140625" style="2"/>
    <col min="14849" max="14849" width="1.42578125" style="2" customWidth="1"/>
    <col min="14850" max="14850" width="29.7109375" style="2" customWidth="1"/>
    <col min="14851" max="14851" width="19.7109375" style="2" customWidth="1"/>
    <col min="14852" max="14853" width="15" style="2" customWidth="1"/>
    <col min="14854" max="14854" width="39.7109375" style="2" customWidth="1"/>
    <col min="14855" max="14855" width="1.42578125" style="2" customWidth="1"/>
    <col min="14856" max="15104" width="9.140625" style="2"/>
    <col min="15105" max="15105" width="1.42578125" style="2" customWidth="1"/>
    <col min="15106" max="15106" width="29.7109375" style="2" customWidth="1"/>
    <col min="15107" max="15107" width="19.7109375" style="2" customWidth="1"/>
    <col min="15108" max="15109" width="15" style="2" customWidth="1"/>
    <col min="15110" max="15110" width="39.7109375" style="2" customWidth="1"/>
    <col min="15111" max="15111" width="1.42578125" style="2" customWidth="1"/>
    <col min="15112" max="15360" width="9.140625" style="2"/>
    <col min="15361" max="15361" width="1.42578125" style="2" customWidth="1"/>
    <col min="15362" max="15362" width="29.7109375" style="2" customWidth="1"/>
    <col min="15363" max="15363" width="19.7109375" style="2" customWidth="1"/>
    <col min="15364" max="15365" width="15" style="2" customWidth="1"/>
    <col min="15366" max="15366" width="39.7109375" style="2" customWidth="1"/>
    <col min="15367" max="15367" width="1.42578125" style="2" customWidth="1"/>
    <col min="15368" max="15616" width="9.140625" style="2"/>
    <col min="15617" max="15617" width="1.42578125" style="2" customWidth="1"/>
    <col min="15618" max="15618" width="29.7109375" style="2" customWidth="1"/>
    <col min="15619" max="15619" width="19.7109375" style="2" customWidth="1"/>
    <col min="15620" max="15621" width="15" style="2" customWidth="1"/>
    <col min="15622" max="15622" width="39.7109375" style="2" customWidth="1"/>
    <col min="15623" max="15623" width="1.42578125" style="2" customWidth="1"/>
    <col min="15624" max="15872" width="9.140625" style="2"/>
    <col min="15873" max="15873" width="1.42578125" style="2" customWidth="1"/>
    <col min="15874" max="15874" width="29.7109375" style="2" customWidth="1"/>
    <col min="15875" max="15875" width="19.7109375" style="2" customWidth="1"/>
    <col min="15876" max="15877" width="15" style="2" customWidth="1"/>
    <col min="15878" max="15878" width="39.7109375" style="2" customWidth="1"/>
    <col min="15879" max="15879" width="1.42578125" style="2" customWidth="1"/>
    <col min="15880" max="16128" width="9.140625" style="2"/>
    <col min="16129" max="16129" width="1.42578125" style="2" customWidth="1"/>
    <col min="16130" max="16130" width="29.7109375" style="2" customWidth="1"/>
    <col min="16131" max="16131" width="19.7109375" style="2" customWidth="1"/>
    <col min="16132" max="16133" width="15" style="2" customWidth="1"/>
    <col min="16134" max="16134" width="39.7109375" style="2" customWidth="1"/>
    <col min="16135" max="16135" width="1.42578125" style="2" customWidth="1"/>
    <col min="16136" max="16384" width="9.140625" style="2"/>
  </cols>
  <sheetData>
    <row r="2" spans="1:8" ht="15.75" x14ac:dyDescent="0.25">
      <c r="A2" s="266"/>
      <c r="B2" s="267" t="s">
        <v>357</v>
      </c>
      <c r="C2" s="268"/>
      <c r="D2" s="268"/>
      <c r="E2" s="268"/>
      <c r="F2" s="268"/>
      <c r="G2" s="266"/>
    </row>
    <row r="4" spans="1:8" ht="13.5" x14ac:dyDescent="0.2">
      <c r="A4" s="351" t="s">
        <v>365</v>
      </c>
      <c r="B4" s="351"/>
      <c r="C4" s="351"/>
      <c r="D4" s="351"/>
      <c r="E4" s="351"/>
      <c r="F4" s="351"/>
      <c r="G4" s="351"/>
    </row>
    <row r="5" spans="1:8" ht="5.0999999999999996" customHeight="1" x14ac:dyDescent="0.2">
      <c r="A5" s="1"/>
      <c r="B5" s="1"/>
      <c r="C5" s="1"/>
      <c r="D5" s="1"/>
      <c r="E5" s="1"/>
      <c r="F5" s="1"/>
      <c r="G5" s="1"/>
    </row>
    <row r="6" spans="1:8" ht="18.75" x14ac:dyDescent="0.3">
      <c r="A6" s="1"/>
      <c r="B6" s="68" t="s">
        <v>274</v>
      </c>
      <c r="C6" s="68"/>
      <c r="D6" s="68"/>
      <c r="E6" s="68"/>
      <c r="F6" s="69" t="s">
        <v>6</v>
      </c>
      <c r="G6" s="1"/>
    </row>
    <row r="7" spans="1:8" x14ac:dyDescent="0.2">
      <c r="A7" s="1"/>
      <c r="B7" s="3" t="s">
        <v>0</v>
      </c>
      <c r="C7" s="4" t="s">
        <v>7</v>
      </c>
      <c r="D7" s="4" t="s">
        <v>8</v>
      </c>
      <c r="E7" s="4" t="s">
        <v>9</v>
      </c>
      <c r="F7" s="5" t="s">
        <v>4</v>
      </c>
      <c r="G7" s="1"/>
    </row>
    <row r="8" spans="1:8" x14ac:dyDescent="0.2">
      <c r="A8" s="1"/>
      <c r="B8" s="14" t="s">
        <v>275</v>
      </c>
      <c r="C8" s="47"/>
      <c r="D8" s="47"/>
      <c r="E8" s="10">
        <v>2000000</v>
      </c>
      <c r="F8" s="53"/>
      <c r="G8" s="1"/>
      <c r="H8" s="53"/>
    </row>
    <row r="9" spans="1:8" x14ac:dyDescent="0.2">
      <c r="A9" s="1"/>
      <c r="B9" s="14" t="s">
        <v>276</v>
      </c>
      <c r="C9" s="2"/>
      <c r="D9" s="2"/>
      <c r="E9" s="10">
        <v>800000</v>
      </c>
      <c r="F9" s="15"/>
      <c r="G9" s="1"/>
      <c r="H9" s="15"/>
    </row>
    <row r="10" spans="1:8" x14ac:dyDescent="0.2">
      <c r="A10" s="1"/>
      <c r="B10" s="14" t="s">
        <v>14</v>
      </c>
      <c r="C10" s="14"/>
      <c r="D10" s="12"/>
      <c r="E10" s="10">
        <v>900000</v>
      </c>
      <c r="F10" s="47"/>
      <c r="G10" s="1"/>
      <c r="H10" s="47"/>
    </row>
    <row r="11" spans="1:8" x14ac:dyDescent="0.2">
      <c r="A11" s="1"/>
      <c r="B11" s="14" t="s">
        <v>16</v>
      </c>
      <c r="C11" s="14"/>
      <c r="D11" s="12"/>
      <c r="E11" s="10">
        <v>200000</v>
      </c>
      <c r="F11" s="47"/>
      <c r="G11" s="1"/>
      <c r="H11" s="47"/>
    </row>
    <row r="12" spans="1:8" x14ac:dyDescent="0.2">
      <c r="A12" s="1"/>
      <c r="B12" s="14" t="s">
        <v>379</v>
      </c>
      <c r="C12" s="14"/>
      <c r="D12" s="12"/>
      <c r="E12" s="10">
        <v>1500000</v>
      </c>
      <c r="F12" s="47"/>
      <c r="G12" s="1"/>
      <c r="H12" s="47"/>
    </row>
    <row r="13" spans="1:8" x14ac:dyDescent="0.2">
      <c r="A13" s="1"/>
      <c r="B13" s="14" t="s">
        <v>15</v>
      </c>
      <c r="C13" s="14"/>
      <c r="D13" s="12"/>
      <c r="E13" s="10">
        <v>150000</v>
      </c>
      <c r="F13" s="47"/>
      <c r="G13" s="1"/>
      <c r="H13" s="47"/>
    </row>
    <row r="14" spans="1:8" x14ac:dyDescent="0.2">
      <c r="A14" s="1"/>
      <c r="B14" s="14" t="s">
        <v>57</v>
      </c>
      <c r="C14" s="14"/>
      <c r="D14" s="12"/>
      <c r="E14" s="261">
        <v>250000</v>
      </c>
      <c r="F14" s="47"/>
      <c r="G14" s="1"/>
      <c r="H14" s="47"/>
    </row>
    <row r="15" spans="1:8" x14ac:dyDescent="0.2">
      <c r="A15" s="1"/>
      <c r="B15" s="14" t="s">
        <v>58</v>
      </c>
      <c r="C15" s="14"/>
      <c r="D15" s="12"/>
      <c r="E15" s="253">
        <v>26000</v>
      </c>
      <c r="G15" s="1"/>
      <c r="H15" s="14"/>
    </row>
    <row r="16" spans="1:8" ht="13.5" thickBot="1" x14ac:dyDescent="0.25">
      <c r="A16" s="1"/>
      <c r="B16" s="34" t="s">
        <v>277</v>
      </c>
      <c r="C16" s="177"/>
      <c r="D16" s="177"/>
      <c r="E16" s="177">
        <f>SUM(E8:E15)</f>
        <v>5826000</v>
      </c>
      <c r="F16" s="177"/>
      <c r="G16" s="1"/>
    </row>
    <row r="17" spans="1:7" x14ac:dyDescent="0.2">
      <c r="A17" s="1"/>
      <c r="B17" s="65"/>
      <c r="C17" s="14"/>
      <c r="D17" s="14"/>
      <c r="E17" s="14"/>
      <c r="F17" s="14"/>
      <c r="G17" s="1"/>
    </row>
    <row r="18" spans="1:7" x14ac:dyDescent="0.2">
      <c r="A18" s="1"/>
      <c r="B18" s="3" t="s">
        <v>278</v>
      </c>
      <c r="C18" s="4"/>
      <c r="D18" s="4" t="s">
        <v>8</v>
      </c>
      <c r="E18" s="4"/>
      <c r="F18" s="5" t="s">
        <v>4</v>
      </c>
      <c r="G18" s="1"/>
    </row>
    <row r="19" spans="1:7" x14ac:dyDescent="0.2">
      <c r="A19" s="1"/>
      <c r="B19" s="2" t="s">
        <v>18</v>
      </c>
      <c r="C19" s="2"/>
      <c r="D19" s="66">
        <v>0</v>
      </c>
      <c r="E19" s="2"/>
      <c r="F19" s="2" t="s">
        <v>19</v>
      </c>
      <c r="G19" s="1"/>
    </row>
    <row r="20" spans="1:7" x14ac:dyDescent="0.2">
      <c r="A20" s="1"/>
      <c r="B20" s="2" t="s">
        <v>20</v>
      </c>
      <c r="C20" s="2"/>
      <c r="D20" s="67">
        <v>0.5</v>
      </c>
      <c r="E20" s="2"/>
      <c r="F20" s="2" t="s">
        <v>19</v>
      </c>
      <c r="G20" s="1"/>
    </row>
    <row r="21" spans="1:7" x14ac:dyDescent="0.2">
      <c r="A21" s="1"/>
      <c r="B21" s="2" t="s">
        <v>21</v>
      </c>
      <c r="C21" s="2"/>
      <c r="D21" s="67">
        <v>0.2</v>
      </c>
      <c r="E21" s="2"/>
      <c r="F21" s="2" t="s">
        <v>19</v>
      </c>
      <c r="G21" s="1"/>
    </row>
    <row r="22" spans="1:7" x14ac:dyDescent="0.2">
      <c r="A22" s="1"/>
      <c r="B22" s="2"/>
      <c r="C22" s="2"/>
      <c r="D22" s="2"/>
      <c r="E22" s="2"/>
      <c r="F22" s="2"/>
      <c r="G22" s="1"/>
    </row>
    <row r="23" spans="1:7" x14ac:dyDescent="0.2">
      <c r="A23" s="1"/>
      <c r="B23" s="35" t="s">
        <v>279</v>
      </c>
      <c r="C23" s="36" t="s">
        <v>7</v>
      </c>
      <c r="D23" s="36" t="s">
        <v>8</v>
      </c>
      <c r="E23" s="36" t="s">
        <v>9</v>
      </c>
      <c r="F23" s="5" t="s">
        <v>4</v>
      </c>
      <c r="G23" s="1"/>
    </row>
    <row r="24" spans="1:7" ht="38.25" x14ac:dyDescent="0.2">
      <c r="A24" s="1"/>
      <c r="B24" s="264" t="s">
        <v>330</v>
      </c>
      <c r="C24" s="26"/>
      <c r="D24" s="26"/>
      <c r="E24" s="265">
        <v>2</v>
      </c>
      <c r="F24" s="116" t="s">
        <v>171</v>
      </c>
      <c r="G24" s="1"/>
    </row>
    <row r="25" spans="1:7" ht="25.5" x14ac:dyDescent="0.2">
      <c r="A25" s="1"/>
      <c r="B25" s="20" t="s">
        <v>317</v>
      </c>
      <c r="C25" s="26"/>
      <c r="D25" s="37">
        <v>15000</v>
      </c>
      <c r="E25" s="26">
        <f>IF(E24=2,D25,0)</f>
        <v>15000</v>
      </c>
      <c r="F25" s="83" t="s">
        <v>294</v>
      </c>
      <c r="G25" s="1"/>
    </row>
    <row r="26" spans="1:7" x14ac:dyDescent="0.2">
      <c r="A26" s="1"/>
      <c r="B26" s="40"/>
      <c r="C26" s="26"/>
      <c r="D26" s="37"/>
      <c r="E26" s="38"/>
      <c r="F26" s="39"/>
      <c r="G26" s="1"/>
    </row>
    <row r="27" spans="1:7" ht="5.0999999999999996" customHeight="1" x14ac:dyDescent="0.2">
      <c r="A27" s="1"/>
      <c r="B27" s="1"/>
      <c r="C27" s="1"/>
      <c r="D27" s="1"/>
      <c r="E27" s="1"/>
      <c r="F27" s="1"/>
      <c r="G27" s="1"/>
    </row>
    <row r="28" spans="1:7" ht="18.75" x14ac:dyDescent="0.3">
      <c r="A28" s="1"/>
      <c r="B28" s="68" t="s">
        <v>280</v>
      </c>
      <c r="C28" s="68"/>
      <c r="D28" s="68"/>
      <c r="E28" s="68"/>
      <c r="F28" s="69" t="s">
        <v>6</v>
      </c>
      <c r="G28" s="1"/>
    </row>
    <row r="29" spans="1:7" x14ac:dyDescent="0.2">
      <c r="A29" s="1"/>
      <c r="B29" s="3"/>
      <c r="C29" s="4"/>
      <c r="D29" s="4" t="s">
        <v>8</v>
      </c>
      <c r="E29" s="4" t="s">
        <v>9</v>
      </c>
      <c r="F29" s="5" t="s">
        <v>4</v>
      </c>
      <c r="G29" s="1"/>
    </row>
    <row r="30" spans="1:7" x14ac:dyDescent="0.2">
      <c r="A30" s="1"/>
      <c r="B30" s="2" t="s">
        <v>336</v>
      </c>
      <c r="C30" s="2"/>
      <c r="D30" s="9"/>
      <c r="E30" s="10">
        <v>250</v>
      </c>
      <c r="F30" s="2" t="s">
        <v>293</v>
      </c>
      <c r="G30" s="1"/>
    </row>
    <row r="31" spans="1:7" x14ac:dyDescent="0.2">
      <c r="A31" s="1"/>
      <c r="B31" s="2" t="s">
        <v>295</v>
      </c>
      <c r="C31" s="2"/>
      <c r="D31" s="10">
        <v>160</v>
      </c>
      <c r="F31" s="2" t="s">
        <v>296</v>
      </c>
      <c r="G31" s="1"/>
    </row>
    <row r="32" spans="1:7" x14ac:dyDescent="0.2">
      <c r="A32" s="1"/>
      <c r="C32" s="2"/>
      <c r="D32" s="10"/>
      <c r="F32" s="2"/>
      <c r="G32" s="1"/>
    </row>
    <row r="33" spans="1:7" x14ac:dyDescent="0.2">
      <c r="A33" s="1"/>
      <c r="B33" s="90" t="s">
        <v>281</v>
      </c>
      <c r="C33" s="2"/>
      <c r="D33" s="271">
        <v>60</v>
      </c>
      <c r="E33" s="19" t="s">
        <v>262</v>
      </c>
      <c r="F33" s="26" t="s">
        <v>286</v>
      </c>
      <c r="G33" s="1"/>
    </row>
    <row r="34" spans="1:7" x14ac:dyDescent="0.2">
      <c r="A34" s="1"/>
      <c r="B34" s="26" t="s">
        <v>283</v>
      </c>
      <c r="C34" s="2"/>
      <c r="D34" s="97">
        <v>5</v>
      </c>
      <c r="E34" s="19" t="s">
        <v>262</v>
      </c>
      <c r="F34" s="26" t="s">
        <v>282</v>
      </c>
      <c r="G34" s="1"/>
    </row>
    <row r="35" spans="1:7" x14ac:dyDescent="0.2">
      <c r="A35" s="1"/>
      <c r="B35" s="26" t="s">
        <v>23</v>
      </c>
      <c r="C35" s="2"/>
      <c r="D35" s="314">
        <v>95</v>
      </c>
      <c r="E35" s="19" t="s">
        <v>262</v>
      </c>
      <c r="F35" s="26" t="s">
        <v>284</v>
      </c>
      <c r="G35" s="1"/>
    </row>
    <row r="36" spans="1:7" ht="5.0999999999999996" customHeight="1" x14ac:dyDescent="0.2">
      <c r="A36" s="1"/>
      <c r="B36" s="1"/>
      <c r="C36" s="1"/>
      <c r="D36" s="1"/>
      <c r="E36" s="1"/>
      <c r="F36" s="1"/>
      <c r="G36" s="1"/>
    </row>
    <row r="37" spans="1:7" ht="18.75" x14ac:dyDescent="0.3">
      <c r="A37" s="1"/>
      <c r="B37" s="68" t="s">
        <v>285</v>
      </c>
      <c r="C37" s="68"/>
      <c r="D37" s="68"/>
      <c r="E37" s="68"/>
      <c r="F37" s="69" t="s">
        <v>6</v>
      </c>
      <c r="G37" s="1"/>
    </row>
    <row r="38" spans="1:7" x14ac:dyDescent="0.2">
      <c r="A38" s="1"/>
      <c r="B38" s="3"/>
      <c r="C38" s="4"/>
      <c r="D38" s="4" t="s">
        <v>8</v>
      </c>
      <c r="E38" s="4"/>
      <c r="F38" s="5" t="s">
        <v>4</v>
      </c>
      <c r="G38" s="1"/>
    </row>
    <row r="39" spans="1:7" x14ac:dyDescent="0.2">
      <c r="A39" s="1"/>
      <c r="B39" s="19" t="s">
        <v>297</v>
      </c>
      <c r="C39" s="77"/>
      <c r="D39" s="78">
        <v>60</v>
      </c>
      <c r="E39" s="77"/>
      <c r="F39" s="79" t="s">
        <v>337</v>
      </c>
      <c r="G39" s="1"/>
    </row>
    <row r="40" spans="1:7" x14ac:dyDescent="0.2">
      <c r="A40" s="1"/>
      <c r="B40" s="19" t="s">
        <v>298</v>
      </c>
      <c r="C40" s="77"/>
      <c r="D40" s="78">
        <v>10</v>
      </c>
      <c r="E40" s="77"/>
      <c r="F40" s="79" t="s">
        <v>375</v>
      </c>
      <c r="G40" s="1"/>
    </row>
    <row r="41" spans="1:7" x14ac:dyDescent="0.2">
      <c r="A41" s="1"/>
      <c r="B41" s="19" t="s">
        <v>299</v>
      </c>
      <c r="C41" s="77"/>
      <c r="D41" s="80">
        <v>5</v>
      </c>
      <c r="E41" s="77"/>
      <c r="F41" s="79" t="s">
        <v>376</v>
      </c>
      <c r="G41" s="1"/>
    </row>
    <row r="42" spans="1:7" x14ac:dyDescent="0.2">
      <c r="A42" s="1"/>
      <c r="B42" s="2" t="s">
        <v>269</v>
      </c>
      <c r="C42" s="2"/>
      <c r="D42" s="10">
        <v>5000</v>
      </c>
      <c r="E42" s="2"/>
      <c r="F42" s="14" t="s">
        <v>287</v>
      </c>
      <c r="G42" s="1"/>
    </row>
    <row r="43" spans="1:7" x14ac:dyDescent="0.2">
      <c r="A43" s="1"/>
      <c r="B43" s="14" t="s">
        <v>82</v>
      </c>
      <c r="C43" s="2"/>
      <c r="D43" s="10">
        <v>15000</v>
      </c>
      <c r="E43" s="2"/>
      <c r="F43" s="14" t="s">
        <v>287</v>
      </c>
      <c r="G43" s="1"/>
    </row>
    <row r="44" spans="1:7" x14ac:dyDescent="0.2">
      <c r="A44" s="1"/>
      <c r="B44" s="14" t="s">
        <v>83</v>
      </c>
      <c r="C44" s="2"/>
      <c r="D44" s="10">
        <v>5000</v>
      </c>
      <c r="E44" s="2"/>
      <c r="F44" s="14" t="s">
        <v>287</v>
      </c>
      <c r="G44" s="1"/>
    </row>
    <row r="45" spans="1:7" x14ac:dyDescent="0.2">
      <c r="A45" s="1"/>
      <c r="B45" s="14" t="s">
        <v>84</v>
      </c>
      <c r="C45" s="2"/>
      <c r="D45" s="10">
        <v>3000</v>
      </c>
      <c r="E45" s="2"/>
      <c r="F45" s="14" t="s">
        <v>287</v>
      </c>
      <c r="G45" s="1"/>
    </row>
    <row r="46" spans="1:7" x14ac:dyDescent="0.2">
      <c r="A46" s="1"/>
      <c r="B46" s="2" t="s">
        <v>25</v>
      </c>
      <c r="C46" s="2"/>
      <c r="D46" s="10">
        <v>6000</v>
      </c>
      <c r="E46" s="2"/>
      <c r="F46" s="14" t="s">
        <v>287</v>
      </c>
      <c r="G46" s="1"/>
    </row>
    <row r="47" spans="1:7" x14ac:dyDescent="0.2">
      <c r="A47" s="1"/>
      <c r="B47" s="2" t="s">
        <v>340</v>
      </c>
      <c r="C47" s="2"/>
      <c r="D47" s="10">
        <v>5000</v>
      </c>
      <c r="E47" s="2"/>
      <c r="F47" s="14" t="s">
        <v>287</v>
      </c>
      <c r="G47" s="1"/>
    </row>
    <row r="48" spans="1:7" x14ac:dyDescent="0.2">
      <c r="A48" s="1"/>
      <c r="B48" s="2" t="s">
        <v>300</v>
      </c>
      <c r="C48" s="2"/>
      <c r="D48" s="10">
        <v>15000</v>
      </c>
      <c r="E48" s="2"/>
      <c r="F48" s="14" t="s">
        <v>287</v>
      </c>
      <c r="G48" s="1"/>
    </row>
    <row r="49" spans="1:7" x14ac:dyDescent="0.2">
      <c r="A49" s="1"/>
      <c r="B49" s="2" t="s">
        <v>345</v>
      </c>
      <c r="C49" s="2"/>
      <c r="D49" s="10">
        <v>4000</v>
      </c>
      <c r="E49" s="2"/>
      <c r="F49" s="14" t="s">
        <v>287</v>
      </c>
      <c r="G49" s="1"/>
    </row>
    <row r="50" spans="1:7" x14ac:dyDescent="0.2">
      <c r="A50" s="1"/>
      <c r="B50" s="2" t="s">
        <v>27</v>
      </c>
      <c r="C50" s="2"/>
      <c r="D50" s="10">
        <v>10000</v>
      </c>
      <c r="E50" s="2"/>
      <c r="F50" s="14" t="s">
        <v>287</v>
      </c>
      <c r="G50" s="1"/>
    </row>
    <row r="51" spans="1:7" x14ac:dyDescent="0.2">
      <c r="A51" s="1"/>
      <c r="B51" s="2" t="s">
        <v>28</v>
      </c>
      <c r="C51" s="2"/>
      <c r="D51" s="10">
        <v>5000</v>
      </c>
      <c r="E51" s="2"/>
      <c r="F51" s="14" t="s">
        <v>287</v>
      </c>
      <c r="G51" s="1"/>
    </row>
    <row r="52" spans="1:7" x14ac:dyDescent="0.2">
      <c r="A52" s="1"/>
      <c r="B52" s="2" t="s">
        <v>356</v>
      </c>
      <c r="C52" s="2"/>
      <c r="D52" s="270">
        <v>330</v>
      </c>
      <c r="E52" s="2"/>
      <c r="F52" s="14"/>
      <c r="G52" s="1"/>
    </row>
    <row r="53" spans="1:7" x14ac:dyDescent="0.2">
      <c r="A53" s="1"/>
      <c r="B53" s="2"/>
      <c r="C53" s="2"/>
      <c r="D53" s="10"/>
      <c r="E53" s="2"/>
      <c r="F53" s="14"/>
      <c r="G53" s="1"/>
    </row>
    <row r="54" spans="1:7" ht="5.0999999999999996" customHeight="1" x14ac:dyDescent="0.2">
      <c r="A54" s="1"/>
      <c r="B54" s="1"/>
      <c r="C54" s="1"/>
      <c r="D54" s="1"/>
      <c r="E54" s="1"/>
      <c r="F54" s="1"/>
      <c r="G54" s="1"/>
    </row>
    <row r="55" spans="1:7" ht="18.75" x14ac:dyDescent="0.3">
      <c r="A55" s="1"/>
      <c r="B55" s="68" t="s">
        <v>288</v>
      </c>
      <c r="C55" s="68"/>
      <c r="D55" s="68"/>
      <c r="E55" s="68"/>
      <c r="F55" s="69" t="s">
        <v>6</v>
      </c>
      <c r="G55" s="1"/>
    </row>
    <row r="56" spans="1:7" ht="25.5" x14ac:dyDescent="0.2">
      <c r="A56" s="1"/>
      <c r="B56" s="3" t="s">
        <v>321</v>
      </c>
      <c r="C56" s="72" t="s">
        <v>289</v>
      </c>
      <c r="D56" s="4" t="s">
        <v>290</v>
      </c>
      <c r="E56" s="4" t="s">
        <v>287</v>
      </c>
      <c r="F56" s="5" t="s">
        <v>4</v>
      </c>
      <c r="G56" s="1"/>
    </row>
    <row r="57" spans="1:7" x14ac:dyDescent="0.2">
      <c r="A57" s="1"/>
      <c r="B57" s="2" t="s">
        <v>161</v>
      </c>
      <c r="C57" s="10">
        <v>45000</v>
      </c>
      <c r="D57" s="10">
        <v>1</v>
      </c>
      <c r="E57" s="2">
        <f>C57*D57</f>
        <v>45000</v>
      </c>
      <c r="F57" s="2"/>
      <c r="G57" s="1"/>
    </row>
    <row r="58" spans="1:7" x14ac:dyDescent="0.2">
      <c r="A58" s="1"/>
      <c r="B58" s="2" t="s">
        <v>167</v>
      </c>
      <c r="C58" s="10">
        <v>45000</v>
      </c>
      <c r="D58" s="10">
        <v>0</v>
      </c>
      <c r="E58" s="2">
        <f t="shared" ref="E58:E67" si="0">C58*D58</f>
        <v>0</v>
      </c>
      <c r="F58" s="2"/>
      <c r="G58" s="1"/>
    </row>
    <row r="59" spans="1:7" x14ac:dyDescent="0.2">
      <c r="A59" s="1"/>
      <c r="B59" s="2" t="s">
        <v>169</v>
      </c>
      <c r="C59" s="10">
        <v>25000</v>
      </c>
      <c r="D59" s="10">
        <v>2</v>
      </c>
      <c r="E59" s="2">
        <f t="shared" si="0"/>
        <v>50000</v>
      </c>
      <c r="F59" s="2"/>
      <c r="G59" s="1"/>
    </row>
    <row r="60" spans="1:7" x14ac:dyDescent="0.2">
      <c r="A60" s="1"/>
      <c r="B60" s="2" t="s">
        <v>222</v>
      </c>
      <c r="C60" s="10">
        <v>20000</v>
      </c>
      <c r="D60" s="10">
        <v>0</v>
      </c>
      <c r="E60" s="2">
        <f t="shared" si="0"/>
        <v>0</v>
      </c>
      <c r="F60" s="2"/>
      <c r="G60" s="1"/>
    </row>
    <row r="61" spans="1:7" x14ac:dyDescent="0.2">
      <c r="A61" s="1"/>
      <c r="B61" s="2" t="s">
        <v>222</v>
      </c>
      <c r="C61" s="10">
        <v>15000</v>
      </c>
      <c r="D61" s="10">
        <v>0</v>
      </c>
      <c r="E61" s="2">
        <f t="shared" si="0"/>
        <v>0</v>
      </c>
      <c r="F61" s="2"/>
      <c r="G61" s="1"/>
    </row>
    <row r="62" spans="1:7" x14ac:dyDescent="0.2">
      <c r="A62" s="1"/>
      <c r="B62" s="2" t="s">
        <v>222</v>
      </c>
      <c r="C62" s="10">
        <v>20000</v>
      </c>
      <c r="D62" s="10">
        <v>0</v>
      </c>
      <c r="E62" s="2">
        <f t="shared" si="0"/>
        <v>0</v>
      </c>
      <c r="F62" s="2"/>
      <c r="G62" s="1"/>
    </row>
    <row r="63" spans="1:7" x14ac:dyDescent="0.2">
      <c r="A63" s="1"/>
      <c r="B63" s="2" t="s">
        <v>222</v>
      </c>
      <c r="C63" s="10">
        <v>20000</v>
      </c>
      <c r="D63" s="10">
        <v>0</v>
      </c>
      <c r="E63" s="2">
        <f t="shared" si="0"/>
        <v>0</v>
      </c>
      <c r="F63" s="2"/>
      <c r="G63" s="1"/>
    </row>
    <row r="64" spans="1:7" x14ac:dyDescent="0.2">
      <c r="A64" s="1"/>
      <c r="B64" s="2" t="s">
        <v>222</v>
      </c>
      <c r="C64" s="10">
        <v>20000</v>
      </c>
      <c r="D64" s="10">
        <v>0</v>
      </c>
      <c r="E64" s="2">
        <f t="shared" si="0"/>
        <v>0</v>
      </c>
      <c r="F64" s="2"/>
      <c r="G64" s="1"/>
    </row>
    <row r="65" spans="1:7" x14ac:dyDescent="0.2">
      <c r="A65" s="1"/>
      <c r="B65" s="2" t="s">
        <v>222</v>
      </c>
      <c r="C65" s="10">
        <v>20000</v>
      </c>
      <c r="D65" s="10">
        <v>0</v>
      </c>
      <c r="E65" s="2">
        <f t="shared" si="0"/>
        <v>0</v>
      </c>
      <c r="F65" s="2"/>
      <c r="G65" s="1"/>
    </row>
    <row r="66" spans="1:7" x14ac:dyDescent="0.2">
      <c r="A66" s="1"/>
      <c r="B66" s="2" t="s">
        <v>222</v>
      </c>
      <c r="C66" s="10">
        <v>20000</v>
      </c>
      <c r="D66" s="10">
        <v>0</v>
      </c>
      <c r="E66" s="2">
        <f t="shared" si="0"/>
        <v>0</v>
      </c>
      <c r="F66" s="2"/>
      <c r="G66" s="1"/>
    </row>
    <row r="67" spans="1:7" x14ac:dyDescent="0.2">
      <c r="A67" s="1"/>
      <c r="B67" s="2" t="s">
        <v>222</v>
      </c>
      <c r="C67" s="10">
        <v>20000</v>
      </c>
      <c r="D67" s="10">
        <v>0</v>
      </c>
      <c r="E67" s="2">
        <f t="shared" si="0"/>
        <v>0</v>
      </c>
      <c r="F67" s="2"/>
      <c r="G67" s="1"/>
    </row>
    <row r="68" spans="1:7" x14ac:dyDescent="0.2">
      <c r="A68" s="1"/>
      <c r="B68" s="73" t="s">
        <v>341</v>
      </c>
      <c r="C68" s="74"/>
      <c r="D68" s="75"/>
      <c r="E68" s="73">
        <f>SUM(E57:E67)</f>
        <v>95000</v>
      </c>
      <c r="F68" s="74"/>
      <c r="G68" s="1"/>
    </row>
    <row r="69" spans="1:7" ht="9" customHeight="1" x14ac:dyDescent="0.2">
      <c r="A69" s="1"/>
      <c r="B69" s="2"/>
      <c r="C69" s="2"/>
      <c r="D69" s="10"/>
      <c r="E69" s="2"/>
      <c r="F69" s="2"/>
      <c r="G69" s="1"/>
    </row>
    <row r="70" spans="1:7" ht="25.5" x14ac:dyDescent="0.2">
      <c r="A70" s="1"/>
      <c r="B70" s="3" t="s">
        <v>322</v>
      </c>
      <c r="C70" s="72" t="s">
        <v>289</v>
      </c>
      <c r="D70" s="4" t="s">
        <v>290</v>
      </c>
      <c r="E70" s="4" t="s">
        <v>287</v>
      </c>
      <c r="F70" s="5" t="s">
        <v>4</v>
      </c>
      <c r="G70" s="1"/>
    </row>
    <row r="71" spans="1:7" x14ac:dyDescent="0.2">
      <c r="A71" s="1"/>
      <c r="B71" s="2" t="s">
        <v>301</v>
      </c>
      <c r="C71" s="10">
        <v>50000</v>
      </c>
      <c r="D71" s="10">
        <v>1</v>
      </c>
      <c r="E71" s="2">
        <f t="shared" ref="E71:E83" si="1">C71*D71</f>
        <v>50000</v>
      </c>
      <c r="F71" s="2"/>
      <c r="G71" s="1"/>
    </row>
    <row r="72" spans="1:7" x14ac:dyDescent="0.2">
      <c r="A72" s="1"/>
      <c r="B72" s="2" t="s">
        <v>166</v>
      </c>
      <c r="C72" s="10">
        <v>35000</v>
      </c>
      <c r="D72" s="10">
        <v>1</v>
      </c>
      <c r="E72" s="2">
        <f t="shared" si="1"/>
        <v>35000</v>
      </c>
      <c r="F72" s="2"/>
      <c r="G72" s="1"/>
    </row>
    <row r="73" spans="1:7" x14ac:dyDescent="0.2">
      <c r="A73" s="1"/>
      <c r="B73" s="2" t="s">
        <v>165</v>
      </c>
      <c r="C73" s="10">
        <v>35000</v>
      </c>
      <c r="D73" s="10">
        <v>0</v>
      </c>
      <c r="E73" s="2">
        <f t="shared" si="1"/>
        <v>0</v>
      </c>
      <c r="F73" s="2"/>
      <c r="G73" s="1"/>
    </row>
    <row r="74" spans="1:7" x14ac:dyDescent="0.2">
      <c r="A74" s="1"/>
      <c r="B74" s="2" t="s">
        <v>164</v>
      </c>
      <c r="C74" s="10">
        <v>25000</v>
      </c>
      <c r="D74" s="10">
        <v>0</v>
      </c>
      <c r="E74" s="2">
        <f t="shared" si="1"/>
        <v>0</v>
      </c>
      <c r="F74" s="2"/>
      <c r="G74" s="1"/>
    </row>
    <row r="75" spans="1:7" x14ac:dyDescent="0.2">
      <c r="A75" s="1"/>
      <c r="B75" s="2" t="s">
        <v>162</v>
      </c>
      <c r="C75" s="10">
        <v>15000</v>
      </c>
      <c r="D75" s="10">
        <v>0</v>
      </c>
      <c r="E75" s="2">
        <f t="shared" si="1"/>
        <v>0</v>
      </c>
      <c r="F75" s="2"/>
      <c r="G75" s="1"/>
    </row>
    <row r="76" spans="1:7" x14ac:dyDescent="0.2">
      <c r="A76" s="1"/>
      <c r="B76" s="2" t="s">
        <v>163</v>
      </c>
      <c r="C76" s="10">
        <v>18000</v>
      </c>
      <c r="D76" s="10">
        <v>0</v>
      </c>
      <c r="E76" s="2">
        <f t="shared" si="1"/>
        <v>0</v>
      </c>
      <c r="F76" s="2"/>
      <c r="G76" s="1"/>
    </row>
    <row r="77" spans="1:7" x14ac:dyDescent="0.2">
      <c r="A77" s="1"/>
      <c r="B77" s="2" t="s">
        <v>222</v>
      </c>
      <c r="C77" s="10">
        <v>20000</v>
      </c>
      <c r="D77" s="10">
        <v>0</v>
      </c>
      <c r="E77" s="2">
        <f t="shared" si="1"/>
        <v>0</v>
      </c>
      <c r="F77" s="2"/>
      <c r="G77" s="1"/>
    </row>
    <row r="78" spans="1:7" x14ac:dyDescent="0.2">
      <c r="A78" s="1"/>
      <c r="B78" s="2" t="s">
        <v>222</v>
      </c>
      <c r="C78" s="10">
        <v>20000</v>
      </c>
      <c r="D78" s="10">
        <v>0</v>
      </c>
      <c r="E78" s="2">
        <f t="shared" si="1"/>
        <v>0</v>
      </c>
      <c r="F78" s="2"/>
      <c r="G78" s="1"/>
    </row>
    <row r="79" spans="1:7" x14ac:dyDescent="0.2">
      <c r="A79" s="1"/>
      <c r="B79" s="2" t="s">
        <v>222</v>
      </c>
      <c r="C79" s="10">
        <v>20000</v>
      </c>
      <c r="D79" s="10">
        <v>0</v>
      </c>
      <c r="E79" s="2">
        <f t="shared" si="1"/>
        <v>0</v>
      </c>
      <c r="F79" s="2"/>
      <c r="G79" s="1"/>
    </row>
    <row r="80" spans="1:7" x14ac:dyDescent="0.2">
      <c r="A80" s="1"/>
      <c r="B80" s="2" t="s">
        <v>222</v>
      </c>
      <c r="C80" s="10">
        <v>20000</v>
      </c>
      <c r="D80" s="10">
        <v>0</v>
      </c>
      <c r="E80" s="2">
        <f t="shared" si="1"/>
        <v>0</v>
      </c>
      <c r="F80" s="2"/>
      <c r="G80" s="1"/>
    </row>
    <row r="81" spans="1:7" x14ac:dyDescent="0.2">
      <c r="A81" s="1"/>
      <c r="B81" s="2" t="s">
        <v>222</v>
      </c>
      <c r="C81" s="10">
        <v>20000</v>
      </c>
      <c r="D81" s="10">
        <v>0</v>
      </c>
      <c r="E81" s="2">
        <f t="shared" si="1"/>
        <v>0</v>
      </c>
      <c r="F81" s="2"/>
      <c r="G81" s="1"/>
    </row>
    <row r="82" spans="1:7" x14ac:dyDescent="0.2">
      <c r="A82" s="1"/>
      <c r="B82" s="2" t="s">
        <v>222</v>
      </c>
      <c r="C82" s="10">
        <v>20000</v>
      </c>
      <c r="D82" s="10">
        <v>0</v>
      </c>
      <c r="E82" s="2">
        <f t="shared" si="1"/>
        <v>0</v>
      </c>
      <c r="F82" s="2"/>
      <c r="G82" s="1"/>
    </row>
    <row r="83" spans="1:7" x14ac:dyDescent="0.2">
      <c r="A83" s="1"/>
      <c r="B83" s="2" t="s">
        <v>222</v>
      </c>
      <c r="C83" s="10">
        <v>20000</v>
      </c>
      <c r="D83" s="10">
        <v>0</v>
      </c>
      <c r="E83" s="2">
        <f t="shared" si="1"/>
        <v>0</v>
      </c>
      <c r="F83" s="2"/>
      <c r="G83" s="1"/>
    </row>
    <row r="84" spans="1:7" x14ac:dyDescent="0.2">
      <c r="A84" s="1"/>
      <c r="B84" s="73" t="s">
        <v>342</v>
      </c>
      <c r="C84" s="74"/>
      <c r="D84" s="76"/>
      <c r="E84" s="73">
        <f>SUM(E71:E83)</f>
        <v>85000</v>
      </c>
      <c r="F84" s="74"/>
      <c r="G84" s="1"/>
    </row>
    <row r="85" spans="1:7" ht="9.75" customHeight="1" x14ac:dyDescent="0.2">
      <c r="A85" s="1"/>
      <c r="B85" s="2"/>
      <c r="C85" s="2"/>
      <c r="D85" s="13"/>
      <c r="E85" s="2"/>
      <c r="F85" s="2"/>
      <c r="G85" s="1"/>
    </row>
    <row r="86" spans="1:7" ht="5.0999999999999996" customHeight="1" x14ac:dyDescent="0.2">
      <c r="A86" s="1"/>
      <c r="B86" s="1"/>
      <c r="C86" s="1"/>
      <c r="D86" s="1"/>
      <c r="E86" s="1"/>
      <c r="F86" s="1"/>
      <c r="G86" s="1"/>
    </row>
    <row r="87" spans="1:7" ht="5.0999999999999996" customHeight="1" x14ac:dyDescent="0.2">
      <c r="A87" s="1"/>
      <c r="B87" s="1"/>
      <c r="C87" s="1"/>
      <c r="D87" s="1"/>
      <c r="E87" s="1"/>
      <c r="F87" s="1"/>
      <c r="G87" s="1"/>
    </row>
    <row r="88" spans="1:7" ht="18.75" x14ac:dyDescent="0.3">
      <c r="A88" s="1"/>
      <c r="B88" s="68" t="s">
        <v>343</v>
      </c>
      <c r="C88" s="68"/>
      <c r="D88" s="68"/>
      <c r="E88" s="68"/>
      <c r="F88" s="69" t="s">
        <v>6</v>
      </c>
      <c r="G88" s="1"/>
    </row>
    <row r="89" spans="1:7" x14ac:dyDescent="0.2">
      <c r="A89" s="1"/>
      <c r="B89" s="3" t="s">
        <v>4</v>
      </c>
      <c r="C89" s="4"/>
      <c r="D89" s="4"/>
      <c r="E89" s="4" t="s">
        <v>9</v>
      </c>
      <c r="F89" s="5" t="s">
        <v>4</v>
      </c>
      <c r="G89" s="1"/>
    </row>
    <row r="90" spans="1:7" ht="25.5" x14ac:dyDescent="0.2">
      <c r="A90" s="1"/>
      <c r="B90" s="2" t="s">
        <v>30</v>
      </c>
      <c r="C90" s="10"/>
      <c r="D90" s="9"/>
      <c r="E90" s="11">
        <v>15</v>
      </c>
      <c r="F90" s="15" t="s">
        <v>344</v>
      </c>
      <c r="G90" s="1"/>
    </row>
    <row r="91" spans="1:7" ht="25.5" x14ac:dyDescent="0.2">
      <c r="A91" s="1"/>
      <c r="B91" s="7" t="s">
        <v>31</v>
      </c>
      <c r="C91" s="11"/>
      <c r="D91" s="8"/>
      <c r="E91" s="11">
        <v>15</v>
      </c>
      <c r="F91" s="15" t="s">
        <v>338</v>
      </c>
      <c r="G91" s="1"/>
    </row>
    <row r="92" spans="1:7" ht="9" customHeight="1" x14ac:dyDescent="0.2">
      <c r="A92" s="1"/>
      <c r="B92" s="2"/>
      <c r="C92" s="10"/>
      <c r="D92" s="9"/>
      <c r="E92" s="10"/>
      <c r="F92" s="2"/>
      <c r="G92" s="1"/>
    </row>
    <row r="93" spans="1:7" ht="5.0999999999999996" customHeight="1" x14ac:dyDescent="0.2">
      <c r="A93" s="1"/>
      <c r="B93" s="1"/>
      <c r="C93" s="1"/>
      <c r="D93" s="1"/>
      <c r="E93" s="1"/>
      <c r="F93" s="1"/>
      <c r="G93" s="1"/>
    </row>
    <row r="94" spans="1:7" ht="18.75" x14ac:dyDescent="0.3">
      <c r="A94" s="1"/>
      <c r="B94" s="68" t="s">
        <v>270</v>
      </c>
      <c r="C94" s="68"/>
      <c r="D94" s="68"/>
      <c r="E94" s="68"/>
      <c r="F94" s="69" t="s">
        <v>6</v>
      </c>
      <c r="G94" s="1"/>
    </row>
    <row r="95" spans="1:7" x14ac:dyDescent="0.2">
      <c r="A95" s="1"/>
      <c r="B95" s="3" t="s">
        <v>4</v>
      </c>
      <c r="C95" s="4"/>
      <c r="D95" s="4" t="s">
        <v>168</v>
      </c>
      <c r="E95" s="4" t="s">
        <v>9</v>
      </c>
      <c r="F95" s="5" t="s">
        <v>4</v>
      </c>
      <c r="G95" s="1"/>
    </row>
    <row r="96" spans="1:7" x14ac:dyDescent="0.2">
      <c r="A96" s="1" t="s">
        <v>267</v>
      </c>
      <c r="B96" s="70" t="s">
        <v>347</v>
      </c>
      <c r="C96" s="7"/>
      <c r="D96" s="16">
        <v>0.5</v>
      </c>
      <c r="E96" s="2"/>
      <c r="F96" s="81" t="s">
        <v>303</v>
      </c>
      <c r="G96" s="1"/>
    </row>
    <row r="97" spans="1:7" x14ac:dyDescent="0.2">
      <c r="A97" s="1"/>
      <c r="B97" s="70" t="s">
        <v>302</v>
      </c>
      <c r="C97" s="7"/>
      <c r="D97" s="16">
        <v>0.5</v>
      </c>
      <c r="E97" s="2"/>
      <c r="F97" s="81" t="s">
        <v>304</v>
      </c>
      <c r="G97" s="1"/>
    </row>
    <row r="98" spans="1:7" ht="13.5" x14ac:dyDescent="0.25">
      <c r="A98" s="1"/>
      <c r="B98" s="254" t="s">
        <v>305</v>
      </c>
      <c r="C98" s="178"/>
      <c r="D98" s="179"/>
      <c r="E98" s="178"/>
      <c r="F98" s="178"/>
      <c r="G98" s="1"/>
    </row>
    <row r="99" spans="1:7" x14ac:dyDescent="0.2">
      <c r="A99" s="1"/>
      <c r="B99" s="71" t="s">
        <v>273</v>
      </c>
      <c r="C99" s="2"/>
      <c r="D99" s="17">
        <v>0.06</v>
      </c>
      <c r="E99" s="6"/>
      <c r="F99" s="7" t="s">
        <v>306</v>
      </c>
      <c r="G99" s="1"/>
    </row>
    <row r="100" spans="1:7" x14ac:dyDescent="0.2">
      <c r="A100" s="1"/>
      <c r="B100" s="71" t="s">
        <v>307</v>
      </c>
      <c r="C100" s="2"/>
      <c r="D100" s="18"/>
      <c r="E100" s="257">
        <v>3</v>
      </c>
      <c r="F100" s="2" t="s">
        <v>202</v>
      </c>
      <c r="G100" s="1"/>
    </row>
    <row r="101" spans="1:7" ht="13.5" x14ac:dyDescent="0.2">
      <c r="A101" s="1"/>
      <c r="B101" s="255" t="s">
        <v>271</v>
      </c>
      <c r="C101" s="180"/>
      <c r="D101" s="181"/>
      <c r="E101" s="258"/>
      <c r="F101" s="180"/>
      <c r="G101" s="1"/>
    </row>
    <row r="102" spans="1:7" x14ac:dyDescent="0.2">
      <c r="A102" s="1"/>
      <c r="B102" s="71" t="s">
        <v>273</v>
      </c>
      <c r="C102" s="7"/>
      <c r="D102" s="17">
        <v>0.19</v>
      </c>
      <c r="E102" s="259"/>
      <c r="F102" s="7" t="s">
        <v>272</v>
      </c>
      <c r="G102" s="1"/>
    </row>
    <row r="103" spans="1:7" x14ac:dyDescent="0.2">
      <c r="A103" s="1"/>
      <c r="B103" s="71" t="s">
        <v>307</v>
      </c>
      <c r="C103" s="7"/>
      <c r="D103" s="18"/>
      <c r="E103" s="259">
        <v>1</v>
      </c>
      <c r="F103" s="2" t="s">
        <v>202</v>
      </c>
      <c r="G103" s="1"/>
    </row>
    <row r="104" spans="1:7" x14ac:dyDescent="0.2">
      <c r="A104" s="1"/>
      <c r="B104" s="70" t="s">
        <v>331</v>
      </c>
      <c r="C104" s="7"/>
      <c r="D104" s="269">
        <v>0</v>
      </c>
      <c r="E104" s="260"/>
      <c r="F104" s="7" t="s">
        <v>339</v>
      </c>
      <c r="G104" s="1"/>
    </row>
    <row r="105" spans="1:7" x14ac:dyDescent="0.2">
      <c r="A105" s="1"/>
      <c r="B105" s="70" t="s">
        <v>349</v>
      </c>
      <c r="C105" s="7"/>
      <c r="D105" s="269">
        <v>0.5</v>
      </c>
      <c r="E105" s="61"/>
      <c r="F105" s="2" t="s">
        <v>350</v>
      </c>
      <c r="G105" s="1"/>
    </row>
    <row r="106" spans="1:7" ht="5.0999999999999996" customHeight="1" x14ac:dyDescent="0.2">
      <c r="A106" s="1"/>
      <c r="B106" s="1"/>
      <c r="C106" s="1"/>
      <c r="D106" s="1"/>
      <c r="E106" s="1"/>
      <c r="F106" s="1"/>
      <c r="G106" s="1"/>
    </row>
  </sheetData>
  <protectedRanges>
    <protectedRange algorithmName="SHA-512" hashValue="7v4ytXcViUhJkKHxGwlZw5kHR61r4S376az73XqS1NqkHqtqMuSxDz2svHz5kFs2f2Ka3vBgG+/fWyvQ0Myckw==" saltValue="Yfe4+gX5Lg6ZtdOtxWB9vw==" spinCount="100000" sqref="D34" name="Range1"/>
  </protectedRanges>
  <mergeCells count="1">
    <mergeCell ref="A4:G4"/>
  </mergeCells>
  <dataValidations count="4">
    <dataValidation type="whole" showInputMessage="1" showErrorMessage="1" sqref="E24">
      <formula1>1</formula1>
      <formula2>2</formula2>
    </dataValidation>
    <dataValidation type="whole" allowBlank="1" showInputMessage="1" showErrorMessage="1" sqref="D33">
      <formula1>60</formula1>
      <formula2>75</formula2>
    </dataValidation>
    <dataValidation type="whole" allowBlank="1" showInputMessage="1" showErrorMessage="1" sqref="D34">
      <formula1>5</formula1>
      <formula2>10</formula2>
    </dataValidation>
    <dataValidation type="whole" allowBlank="1" showInputMessage="1" showErrorMessage="1" sqref="D35">
      <formula1>90</formula1>
      <formula2>95</formula2>
    </dataValidation>
  </dataValidations>
  <pageMargins left="0.7" right="0.7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AA195"/>
  <sheetViews>
    <sheetView topLeftCell="B1" zoomScale="139" zoomScaleNormal="140" zoomScaleSheetLayoutView="100" workbookViewId="0">
      <selection activeCell="D83" sqref="D83"/>
    </sheetView>
  </sheetViews>
  <sheetFormatPr defaultColWidth="8.85546875" defaultRowHeight="12.75" x14ac:dyDescent="0.2"/>
  <cols>
    <col min="1" max="1" width="1" style="42" customWidth="1"/>
    <col min="2" max="2" width="38.140625" style="42" customWidth="1"/>
    <col min="3" max="3" width="12.28515625" style="42" bestFit="1" customWidth="1"/>
    <col min="4" max="6" width="11.42578125" style="42" bestFit="1" customWidth="1"/>
    <col min="7" max="12" width="12.7109375" style="42" bestFit="1" customWidth="1"/>
    <col min="13" max="13" width="13" style="42" bestFit="1" customWidth="1"/>
    <col min="14" max="14" width="1" style="42" customWidth="1"/>
    <col min="15" max="16" width="8.85546875" style="42"/>
    <col min="17" max="17" width="25.7109375" style="42" bestFit="1" customWidth="1"/>
    <col min="18" max="18" width="11.42578125" style="42" bestFit="1" customWidth="1"/>
    <col min="19" max="16384" width="8.85546875" style="42"/>
  </cols>
  <sheetData>
    <row r="1" spans="1:14" ht="6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 x14ac:dyDescent="0.3">
      <c r="A2" s="25"/>
      <c r="B2" s="31" t="s">
        <v>351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6</v>
      </c>
      <c r="N2" s="25"/>
    </row>
    <row r="3" spans="1:14" ht="18.75" x14ac:dyDescent="0.3">
      <c r="A3" s="25"/>
      <c r="B3" s="33" t="str">
        <f>'Input Sheet'!B2</f>
        <v>Name of Project: ABC Private Limited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5"/>
    </row>
    <row r="4" spans="1:14" x14ac:dyDescent="0.2">
      <c r="A4" s="2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25"/>
    </row>
    <row r="5" spans="1:14" ht="15" x14ac:dyDescent="0.25">
      <c r="A5" s="25"/>
      <c r="B5" s="55" t="s">
        <v>223</v>
      </c>
      <c r="C5" s="131"/>
      <c r="D5" s="132"/>
      <c r="E5" s="116"/>
      <c r="F5" s="116"/>
      <c r="G5" s="116"/>
      <c r="H5" s="116"/>
      <c r="I5" s="116"/>
      <c r="J5" s="116"/>
      <c r="K5" s="116"/>
      <c r="L5" s="116"/>
      <c r="M5" s="116"/>
      <c r="N5" s="25"/>
    </row>
    <row r="6" spans="1:14" x14ac:dyDescent="0.2">
      <c r="A6" s="25"/>
      <c r="B6" s="133" t="s">
        <v>29</v>
      </c>
      <c r="C6" s="134"/>
      <c r="D6" s="135">
        <f>Calculations!E29</f>
        <v>0</v>
      </c>
      <c r="E6" s="90"/>
      <c r="F6" s="90"/>
      <c r="G6" s="116"/>
      <c r="H6" s="116"/>
      <c r="I6" s="116"/>
      <c r="J6" s="116"/>
      <c r="K6" s="116"/>
      <c r="L6" s="116"/>
      <c r="M6" s="116"/>
      <c r="N6" s="25"/>
    </row>
    <row r="7" spans="1:14" x14ac:dyDescent="0.2">
      <c r="A7" s="25"/>
      <c r="B7" s="133" t="s">
        <v>56</v>
      </c>
      <c r="C7" s="134"/>
      <c r="D7" s="135">
        <f>Calculations!E30</f>
        <v>0</v>
      </c>
      <c r="E7" s="90"/>
      <c r="F7" s="90"/>
      <c r="G7" s="116"/>
      <c r="H7" s="116"/>
      <c r="I7" s="116"/>
      <c r="J7" s="116"/>
      <c r="K7" s="116"/>
      <c r="L7" s="116"/>
      <c r="M7" s="116"/>
      <c r="N7" s="25"/>
    </row>
    <row r="8" spans="1:14" x14ac:dyDescent="0.2">
      <c r="A8" s="25"/>
      <c r="B8" s="133" t="s">
        <v>14</v>
      </c>
      <c r="C8" s="134"/>
      <c r="D8" s="135">
        <f>Calculations!E31</f>
        <v>900000</v>
      </c>
      <c r="E8" s="90"/>
      <c r="F8" s="90"/>
      <c r="G8" s="116"/>
      <c r="H8" s="116"/>
      <c r="I8" s="116"/>
      <c r="J8" s="116"/>
      <c r="K8" s="116"/>
      <c r="L8" s="116"/>
      <c r="M8" s="116"/>
      <c r="N8" s="25"/>
    </row>
    <row r="9" spans="1:14" x14ac:dyDescent="0.2">
      <c r="A9" s="25"/>
      <c r="B9" s="133" t="s">
        <v>16</v>
      </c>
      <c r="C9" s="134"/>
      <c r="D9" s="135">
        <f>Calculations!E32</f>
        <v>200000</v>
      </c>
      <c r="E9" s="90"/>
      <c r="F9" s="90"/>
      <c r="G9" s="116"/>
      <c r="H9" s="116"/>
      <c r="I9" s="116"/>
      <c r="J9" s="116"/>
      <c r="K9" s="116"/>
      <c r="L9" s="116"/>
      <c r="M9" s="116"/>
      <c r="N9" s="25"/>
    </row>
    <row r="10" spans="1:14" x14ac:dyDescent="0.2">
      <c r="A10" s="25"/>
      <c r="B10" s="133" t="s">
        <v>17</v>
      </c>
      <c r="C10" s="134"/>
      <c r="D10" s="135">
        <f>Calculations!E33</f>
        <v>1500000</v>
      </c>
      <c r="E10" s="90"/>
      <c r="F10" s="90"/>
      <c r="G10" s="116"/>
      <c r="H10" s="116"/>
      <c r="I10" s="116"/>
      <c r="J10" s="116"/>
      <c r="K10" s="116"/>
      <c r="L10" s="116"/>
      <c r="M10" s="116"/>
      <c r="N10" s="25"/>
    </row>
    <row r="11" spans="1:14" x14ac:dyDescent="0.2">
      <c r="A11" s="25"/>
      <c r="B11" s="133" t="s">
        <v>15</v>
      </c>
      <c r="C11" s="134"/>
      <c r="D11" s="135">
        <f>Calculations!E34</f>
        <v>150000</v>
      </c>
      <c r="E11" s="90"/>
      <c r="F11" s="90"/>
      <c r="G11" s="116"/>
      <c r="H11" s="116"/>
      <c r="I11" s="116"/>
      <c r="J11" s="116"/>
      <c r="K11" s="116"/>
      <c r="L11" s="116"/>
      <c r="M11" s="116"/>
      <c r="N11" s="25"/>
    </row>
    <row r="12" spans="1:14" x14ac:dyDescent="0.2">
      <c r="A12" s="25"/>
      <c r="B12" s="133" t="s">
        <v>57</v>
      </c>
      <c r="C12" s="134"/>
      <c r="D12" s="135">
        <f>Calculations!E35</f>
        <v>250000</v>
      </c>
      <c r="E12" s="90"/>
      <c r="F12" s="90"/>
      <c r="G12" s="116"/>
      <c r="H12" s="116"/>
      <c r="I12" s="116"/>
      <c r="J12" s="116"/>
      <c r="K12" s="116"/>
      <c r="L12" s="116"/>
      <c r="M12" s="116"/>
      <c r="N12" s="25"/>
    </row>
    <row r="13" spans="1:14" x14ac:dyDescent="0.2">
      <c r="A13" s="25"/>
      <c r="B13" s="133" t="s">
        <v>249</v>
      </c>
      <c r="C13" s="134"/>
      <c r="D13" s="135">
        <f>Calculations!E36</f>
        <v>26000</v>
      </c>
      <c r="E13" s="136"/>
      <c r="F13" s="136"/>
      <c r="G13" s="136"/>
      <c r="H13" s="136"/>
      <c r="I13" s="116"/>
      <c r="J13" s="116"/>
      <c r="K13" s="116"/>
      <c r="L13" s="116"/>
      <c r="M13" s="116"/>
      <c r="N13" s="25"/>
    </row>
    <row r="14" spans="1:14" x14ac:dyDescent="0.2">
      <c r="A14" s="25"/>
      <c r="B14" s="137" t="s">
        <v>59</v>
      </c>
      <c r="C14" s="138"/>
      <c r="D14" s="54">
        <f>SUM(D6:D13)</f>
        <v>3026000</v>
      </c>
      <c r="E14" s="136"/>
      <c r="F14" s="136"/>
      <c r="G14" s="136"/>
      <c r="H14" s="136"/>
      <c r="I14" s="116"/>
      <c r="J14" s="116"/>
      <c r="K14" s="116"/>
      <c r="L14" s="116"/>
      <c r="M14" s="116"/>
      <c r="N14" s="25"/>
    </row>
    <row r="15" spans="1:14" ht="15" x14ac:dyDescent="0.25">
      <c r="A15" s="25"/>
      <c r="B15" s="139"/>
      <c r="C15" s="139"/>
      <c r="D15" s="139"/>
      <c r="E15" s="136"/>
      <c r="F15" s="136"/>
      <c r="G15" s="136"/>
      <c r="H15" s="136"/>
      <c r="I15" s="116"/>
      <c r="J15" s="116"/>
      <c r="K15" s="116"/>
      <c r="L15" s="116"/>
      <c r="M15" s="116"/>
      <c r="N15" s="25"/>
    </row>
    <row r="16" spans="1:14" ht="15" x14ac:dyDescent="0.25">
      <c r="A16" s="25"/>
      <c r="B16" s="55" t="s">
        <v>224</v>
      </c>
      <c r="C16" s="56"/>
      <c r="D16" s="57"/>
      <c r="E16" s="136"/>
      <c r="F16" s="136"/>
      <c r="G16" s="136"/>
      <c r="H16" s="136"/>
      <c r="I16" s="116"/>
      <c r="J16" s="116"/>
      <c r="K16" s="116"/>
      <c r="L16" s="116"/>
      <c r="M16" s="116"/>
      <c r="N16" s="25"/>
    </row>
    <row r="17" spans="1:18" x14ac:dyDescent="0.2">
      <c r="A17" s="25"/>
      <c r="B17" s="133" t="s">
        <v>18</v>
      </c>
      <c r="C17" s="134"/>
      <c r="D17" s="135">
        <f>Calculations!E39</f>
        <v>0</v>
      </c>
      <c r="E17" s="136"/>
      <c r="F17" s="136"/>
      <c r="G17" s="136"/>
      <c r="H17" s="136"/>
      <c r="I17" s="116"/>
      <c r="J17" s="116"/>
      <c r="K17" s="116"/>
      <c r="L17" s="116"/>
      <c r="M17" s="116"/>
      <c r="N17" s="25"/>
    </row>
    <row r="18" spans="1:18" x14ac:dyDescent="0.2">
      <c r="A18" s="25"/>
      <c r="B18" s="133" t="s">
        <v>20</v>
      </c>
      <c r="C18" s="134"/>
      <c r="D18" s="135">
        <f>Calculations!E40</f>
        <v>141968.75</v>
      </c>
      <c r="E18" s="136"/>
      <c r="F18" s="136"/>
      <c r="G18" s="136"/>
      <c r="H18" s="136"/>
      <c r="I18" s="116"/>
      <c r="J18" s="116"/>
      <c r="K18" s="116"/>
      <c r="L18" s="116"/>
      <c r="M18" s="116"/>
      <c r="N18" s="25"/>
    </row>
    <row r="19" spans="1:18" x14ac:dyDescent="0.2">
      <c r="A19" s="25"/>
      <c r="B19" s="133" t="s">
        <v>225</v>
      </c>
      <c r="C19" s="134"/>
      <c r="D19" s="135">
        <f>Calculations!E41</f>
        <v>45000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25"/>
    </row>
    <row r="20" spans="1:18" x14ac:dyDescent="0.2">
      <c r="A20" s="25"/>
      <c r="B20" s="140" t="s">
        <v>61</v>
      </c>
      <c r="C20" s="141"/>
      <c r="D20" s="142">
        <f ca="1">Calculations!E42</f>
        <v>269996.89354558138</v>
      </c>
      <c r="E20" s="116"/>
      <c r="F20" s="116"/>
      <c r="G20" s="116"/>
      <c r="H20" s="116"/>
      <c r="I20" s="116"/>
      <c r="J20" s="116"/>
      <c r="K20" s="116"/>
      <c r="L20" s="116"/>
      <c r="M20" s="116"/>
      <c r="N20" s="25"/>
    </row>
    <row r="21" spans="1:18" x14ac:dyDescent="0.2">
      <c r="A21" s="25"/>
      <c r="B21" s="137" t="s">
        <v>62</v>
      </c>
      <c r="C21" s="138"/>
      <c r="D21" s="54">
        <f ca="1">SUM(D17:D20)</f>
        <v>456965.64354558138</v>
      </c>
      <c r="E21" s="116"/>
      <c r="F21" s="116"/>
      <c r="G21" s="116"/>
      <c r="H21" s="116"/>
      <c r="I21" s="116"/>
      <c r="J21" s="116"/>
      <c r="K21" s="116"/>
      <c r="L21" s="116"/>
      <c r="M21" s="116"/>
      <c r="N21" s="25"/>
    </row>
    <row r="22" spans="1:18" ht="15" x14ac:dyDescent="0.25">
      <c r="A22" s="25"/>
      <c r="B22" s="139"/>
      <c r="C22" s="139"/>
      <c r="D22" s="139"/>
      <c r="E22" s="116"/>
      <c r="F22" s="116"/>
      <c r="G22" s="116"/>
      <c r="H22" s="116"/>
      <c r="I22" s="116"/>
      <c r="J22" s="116"/>
      <c r="K22" s="116"/>
      <c r="L22" s="116"/>
      <c r="M22" s="116"/>
      <c r="N22" s="25"/>
    </row>
    <row r="23" spans="1:18" ht="15" x14ac:dyDescent="0.25">
      <c r="A23" s="25"/>
      <c r="B23" s="143" t="s">
        <v>226</v>
      </c>
      <c r="C23" s="144"/>
      <c r="D23" s="145">
        <f ca="1">D14+D21</f>
        <v>3482965.6435455815</v>
      </c>
      <c r="E23" s="116"/>
      <c r="F23" s="116"/>
      <c r="G23" s="116"/>
      <c r="H23" s="116"/>
      <c r="I23" s="116"/>
      <c r="J23" s="116"/>
      <c r="K23" s="116"/>
      <c r="L23" s="116"/>
      <c r="M23" s="116"/>
      <c r="N23" s="25"/>
    </row>
    <row r="24" spans="1:18" ht="15" x14ac:dyDescent="0.25">
      <c r="A24" s="25"/>
      <c r="B24" s="139"/>
      <c r="C24" s="139"/>
      <c r="D24" s="139"/>
      <c r="E24" s="116"/>
      <c r="F24" s="116"/>
      <c r="G24" s="116"/>
      <c r="H24" s="116"/>
      <c r="I24" s="116"/>
      <c r="J24" s="116"/>
      <c r="K24" s="116"/>
      <c r="L24" s="116"/>
      <c r="M24" s="116"/>
      <c r="N24" s="25"/>
    </row>
    <row r="25" spans="1:18" ht="15" x14ac:dyDescent="0.25">
      <c r="A25" s="25"/>
      <c r="B25" s="55" t="s">
        <v>227</v>
      </c>
      <c r="C25" s="56"/>
      <c r="D25" s="57"/>
      <c r="E25" s="116"/>
      <c r="F25" s="116"/>
      <c r="G25" s="116"/>
      <c r="H25" s="116"/>
      <c r="I25" s="116"/>
      <c r="J25" s="116"/>
      <c r="K25" s="116"/>
      <c r="L25" s="116"/>
      <c r="M25" s="116"/>
      <c r="N25" s="25"/>
    </row>
    <row r="26" spans="1:18" x14ac:dyDescent="0.2">
      <c r="A26" s="25"/>
      <c r="B26" s="146" t="s">
        <v>10</v>
      </c>
      <c r="C26" s="147">
        <f ca="1">Calculations!D48</f>
        <v>0.49999999999963229</v>
      </c>
      <c r="D26" s="148">
        <f ca="1">Calculations!E48</f>
        <v>1741482.8217727907</v>
      </c>
      <c r="E26" s="116"/>
      <c r="F26" s="116"/>
      <c r="G26" s="116"/>
      <c r="H26" s="116"/>
      <c r="I26" s="116"/>
      <c r="J26" s="116"/>
      <c r="K26" s="116"/>
      <c r="L26" s="116"/>
      <c r="M26" s="116"/>
      <c r="N26" s="25"/>
    </row>
    <row r="27" spans="1:18" x14ac:dyDescent="0.2">
      <c r="A27" s="25"/>
      <c r="B27" s="149" t="s">
        <v>13</v>
      </c>
      <c r="C27" s="150">
        <f ca="1">Calculations!D49</f>
        <v>0.49999999999963229</v>
      </c>
      <c r="D27" s="151">
        <f ca="1">Calculations!E49</f>
        <v>1741482.8217727907</v>
      </c>
      <c r="E27" s="116"/>
      <c r="F27" s="116"/>
      <c r="G27" s="116"/>
      <c r="H27" s="116"/>
      <c r="I27" s="116"/>
      <c r="J27" s="116"/>
      <c r="K27" s="116"/>
      <c r="L27" s="116"/>
      <c r="M27" s="116"/>
      <c r="N27" s="25"/>
    </row>
    <row r="28" spans="1:18" x14ac:dyDescent="0.2">
      <c r="A28" s="2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25"/>
      <c r="Q28" s="152"/>
      <c r="R28" s="152"/>
    </row>
    <row r="29" spans="1:18" ht="15" x14ac:dyDescent="0.25">
      <c r="A29" s="25"/>
      <c r="B29" s="86" t="s">
        <v>232</v>
      </c>
      <c r="C29" s="59"/>
      <c r="D29" s="60" t="s">
        <v>228</v>
      </c>
      <c r="E29" s="116"/>
      <c r="F29" s="116"/>
      <c r="G29" s="116"/>
      <c r="H29" s="116"/>
      <c r="I29" s="116"/>
      <c r="J29" s="116"/>
      <c r="K29" s="116"/>
      <c r="L29" s="116"/>
      <c r="M29" s="116"/>
      <c r="N29" s="25"/>
      <c r="Q29" s="153"/>
      <c r="R29" s="153"/>
    </row>
    <row r="30" spans="1:18" x14ac:dyDescent="0.2">
      <c r="A30" s="25"/>
      <c r="B30" s="154" t="s">
        <v>229</v>
      </c>
      <c r="C30" s="155"/>
      <c r="D30" s="156">
        <f ca="1">Calculations!D219</f>
        <v>0.48909168455956498</v>
      </c>
      <c r="E30" s="116"/>
      <c r="F30" s="116"/>
      <c r="G30" s="116"/>
      <c r="H30" s="116"/>
      <c r="I30" s="116"/>
      <c r="J30" s="116"/>
      <c r="K30" s="116"/>
      <c r="L30" s="116"/>
      <c r="M30" s="116"/>
      <c r="N30" s="25"/>
      <c r="Q30" s="153"/>
      <c r="R30" s="153"/>
    </row>
    <row r="31" spans="1:18" x14ac:dyDescent="0.2">
      <c r="A31" s="25"/>
      <c r="B31" s="154" t="s">
        <v>230</v>
      </c>
      <c r="C31" s="18"/>
      <c r="D31" s="148">
        <f ca="1">Calculations!D221</f>
        <v>4867876.9616419142</v>
      </c>
      <c r="E31" s="116"/>
      <c r="F31" s="116"/>
      <c r="G31" s="116"/>
      <c r="H31" s="116"/>
      <c r="I31" s="116"/>
      <c r="J31" s="116"/>
      <c r="K31" s="116"/>
      <c r="L31" s="116"/>
      <c r="M31" s="116"/>
      <c r="N31" s="25"/>
      <c r="Q31" s="153"/>
      <c r="R31" s="153"/>
    </row>
    <row r="32" spans="1:18" x14ac:dyDescent="0.2">
      <c r="A32" s="25"/>
      <c r="B32" s="154" t="s">
        <v>231</v>
      </c>
      <c r="C32" s="157"/>
      <c r="D32" s="158">
        <f ca="1">Calculations!D222</f>
        <v>2.8665578501087046</v>
      </c>
      <c r="E32" s="116"/>
      <c r="F32" s="116"/>
      <c r="G32" s="116"/>
      <c r="H32" s="116"/>
      <c r="I32" s="116"/>
      <c r="J32" s="116"/>
      <c r="K32" s="116"/>
      <c r="L32" s="116"/>
      <c r="M32" s="116"/>
      <c r="N32" s="25"/>
      <c r="Q32" s="153"/>
      <c r="R32" s="153"/>
    </row>
    <row r="33" spans="1:27" x14ac:dyDescent="0.2">
      <c r="A33" s="25"/>
      <c r="B33" s="154" t="s">
        <v>248</v>
      </c>
      <c r="C33" s="134"/>
      <c r="D33" s="159">
        <v>0.25</v>
      </c>
      <c r="E33" s="116"/>
      <c r="F33" s="116"/>
      <c r="G33" s="116"/>
      <c r="H33" s="116"/>
      <c r="I33" s="116"/>
      <c r="J33" s="116"/>
      <c r="K33" s="116"/>
      <c r="L33" s="116"/>
      <c r="M33" s="116"/>
      <c r="N33" s="25"/>
      <c r="Q33" s="153"/>
      <c r="R33" s="153"/>
    </row>
    <row r="34" spans="1:27" x14ac:dyDescent="0.2">
      <c r="A34" s="25"/>
      <c r="B34" s="154" t="s">
        <v>246</v>
      </c>
      <c r="C34" s="157"/>
      <c r="D34" s="156">
        <f ca="1">(D33*Calculations!D49)+(((('Input Sheet'!D99*'Input Sheet'!D96)+('Input Sheet'!D102*'Input Sheet'!D97))*Calculations!D48)*(1-'Tax Sheet'!$D$24))</f>
        <v>0.1748022668372563</v>
      </c>
      <c r="E34" s="116"/>
      <c r="F34" s="116"/>
      <c r="G34" s="116"/>
      <c r="H34" s="116"/>
      <c r="I34" s="116"/>
      <c r="J34" s="116"/>
      <c r="K34" s="116"/>
      <c r="L34" s="116"/>
      <c r="M34" s="116"/>
      <c r="N34" s="25"/>
      <c r="Q34" s="153"/>
      <c r="R34" s="153"/>
    </row>
    <row r="35" spans="1:27" x14ac:dyDescent="0.2">
      <c r="A35" s="25"/>
      <c r="B35" s="154" t="s">
        <v>233</v>
      </c>
      <c r="C35" s="18"/>
      <c r="D35" s="156">
        <f ca="1">AVERAGE(D55:M55)</f>
        <v>0.43349749362564644</v>
      </c>
      <c r="E35" s="116"/>
      <c r="F35" s="116"/>
      <c r="G35" s="116"/>
      <c r="H35" s="116"/>
      <c r="I35" s="116"/>
      <c r="J35" s="116"/>
      <c r="K35" s="116"/>
      <c r="L35" s="116"/>
      <c r="M35" s="116"/>
      <c r="N35" s="25"/>
      <c r="Q35" s="153"/>
      <c r="R35" s="160"/>
    </row>
    <row r="36" spans="1:27" x14ac:dyDescent="0.2">
      <c r="A36" s="25"/>
      <c r="B36" s="154" t="s">
        <v>327</v>
      </c>
      <c r="C36" s="18"/>
      <c r="D36" s="156">
        <f ca="1">AVERAGE(D56:M56)</f>
        <v>0.35383212161919392</v>
      </c>
      <c r="E36" s="116"/>
      <c r="F36" s="116"/>
      <c r="G36" s="116"/>
      <c r="H36" s="116"/>
      <c r="I36" s="116"/>
      <c r="J36" s="116"/>
      <c r="K36" s="116"/>
      <c r="L36" s="116"/>
      <c r="M36" s="116"/>
      <c r="N36" s="25"/>
      <c r="Q36" s="153"/>
      <c r="R36" s="160"/>
    </row>
    <row r="37" spans="1:27" x14ac:dyDescent="0.2">
      <c r="A37" s="25"/>
      <c r="B37" s="161" t="s">
        <v>328</v>
      </c>
      <c r="C37" s="162"/>
      <c r="D37" s="163">
        <f ca="1">AVERAGE(D57:M57)</f>
        <v>0.38562765557271195</v>
      </c>
      <c r="E37" s="116"/>
      <c r="F37" s="116"/>
      <c r="G37" s="116"/>
      <c r="H37" s="116"/>
      <c r="I37" s="116"/>
      <c r="J37" s="116"/>
      <c r="K37" s="116"/>
      <c r="L37" s="116"/>
      <c r="M37" s="116"/>
      <c r="N37" s="25"/>
      <c r="Q37" s="152"/>
      <c r="R37" s="152"/>
    </row>
    <row r="38" spans="1:27" ht="15" customHeight="1" x14ac:dyDescent="0.2">
      <c r="A38" s="2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25"/>
    </row>
    <row r="39" spans="1:27" ht="15" x14ac:dyDescent="0.25">
      <c r="A39" s="25"/>
      <c r="B39" s="58" t="s">
        <v>240</v>
      </c>
      <c r="C39" s="59"/>
      <c r="D39" s="60"/>
      <c r="E39" s="116"/>
      <c r="F39" s="116"/>
      <c r="G39" s="116"/>
      <c r="H39" s="116"/>
      <c r="I39" s="116"/>
      <c r="J39" s="116"/>
      <c r="K39" s="116"/>
      <c r="L39" s="116"/>
      <c r="M39" s="116"/>
      <c r="N39" s="25"/>
      <c r="R39" s="164"/>
      <c r="S39" s="164"/>
      <c r="T39" s="164"/>
      <c r="U39" s="164"/>
      <c r="V39" s="164"/>
      <c r="W39" s="164"/>
      <c r="X39" s="164"/>
      <c r="Y39" s="164"/>
      <c r="Z39" s="164"/>
      <c r="AA39" s="164"/>
    </row>
    <row r="40" spans="1:27" x14ac:dyDescent="0.2">
      <c r="A40" s="25"/>
      <c r="B40" s="165" t="s">
        <v>378</v>
      </c>
      <c r="C40" s="166"/>
      <c r="D40" s="167">
        <f>Calculations!F60/12</f>
        <v>4125</v>
      </c>
      <c r="E40" s="116"/>
      <c r="F40" s="116"/>
      <c r="G40" s="116"/>
      <c r="H40" s="116"/>
      <c r="I40" s="116"/>
      <c r="J40" s="116"/>
      <c r="K40" s="116"/>
      <c r="L40" s="116"/>
      <c r="M40" s="116"/>
      <c r="N40" s="25"/>
      <c r="R40" s="168"/>
      <c r="S40" s="168"/>
      <c r="T40" s="168"/>
      <c r="U40" s="168"/>
      <c r="V40" s="168"/>
      <c r="W40" s="168"/>
      <c r="X40" s="168"/>
      <c r="Y40" s="168"/>
      <c r="Z40" s="168"/>
      <c r="AA40" s="168"/>
    </row>
    <row r="41" spans="1:27" x14ac:dyDescent="0.2">
      <c r="A41" s="25"/>
      <c r="B41" s="154" t="s">
        <v>235</v>
      </c>
      <c r="C41" s="134"/>
      <c r="D41" s="148">
        <f>'Input Sheet'!D31</f>
        <v>160</v>
      </c>
      <c r="E41" s="116"/>
      <c r="F41" s="116"/>
      <c r="G41" s="116"/>
      <c r="H41" s="116"/>
      <c r="I41" s="116"/>
      <c r="J41" s="116"/>
      <c r="K41" s="116"/>
      <c r="L41" s="116"/>
      <c r="M41" s="116"/>
      <c r="N41" s="25"/>
      <c r="R41" s="168"/>
      <c r="S41" s="168"/>
      <c r="T41" s="168"/>
      <c r="U41" s="168"/>
      <c r="V41" s="168"/>
      <c r="W41" s="168"/>
      <c r="X41" s="168"/>
      <c r="Y41" s="168"/>
      <c r="Z41" s="168"/>
      <c r="AA41" s="168"/>
    </row>
    <row r="42" spans="1:27" x14ac:dyDescent="0.2">
      <c r="A42" s="25"/>
      <c r="B42" s="154" t="s">
        <v>236</v>
      </c>
      <c r="C42" s="134"/>
      <c r="D42" s="148">
        <f ca="1">(SUM(Calculations!$F84:$F95)+Calculations!F105)/12</f>
        <v>220032.64467804891</v>
      </c>
      <c r="E42" s="116"/>
      <c r="F42" s="116"/>
      <c r="G42" s="116"/>
      <c r="H42" s="116"/>
      <c r="I42" s="116"/>
      <c r="J42" s="116"/>
      <c r="K42" s="116"/>
      <c r="L42" s="116"/>
      <c r="M42" s="116"/>
      <c r="N42" s="25"/>
      <c r="R42" s="168"/>
      <c r="S42" s="168"/>
      <c r="T42" s="168"/>
      <c r="U42" s="168"/>
      <c r="V42" s="168"/>
      <c r="W42" s="168"/>
      <c r="X42" s="168"/>
      <c r="Y42" s="168"/>
      <c r="Z42" s="168"/>
      <c r="AA42" s="168"/>
    </row>
    <row r="43" spans="1:27" x14ac:dyDescent="0.2">
      <c r="A43" s="25"/>
      <c r="B43" s="154" t="s">
        <v>237</v>
      </c>
      <c r="C43" s="134"/>
      <c r="D43" s="158">
        <f>('Input Sheet'!$D39+'Input Sheet'!$D40+'Input Sheet'!$D41)+(('Input Sheet'!$E68+'Input Sheet'!$D42)/$D$40)</f>
        <v>99.242424242424249</v>
      </c>
      <c r="F43" s="116"/>
      <c r="G43" s="116"/>
      <c r="H43" s="116"/>
      <c r="I43" s="116"/>
      <c r="J43" s="116"/>
      <c r="K43" s="116"/>
      <c r="L43" s="116"/>
      <c r="M43" s="116"/>
      <c r="N43" s="25"/>
      <c r="R43" s="168"/>
      <c r="S43" s="168"/>
      <c r="T43" s="168"/>
      <c r="U43" s="168"/>
      <c r="V43" s="168"/>
      <c r="W43" s="168"/>
      <c r="X43" s="168"/>
      <c r="Y43" s="168"/>
      <c r="Z43" s="168"/>
      <c r="AA43" s="168"/>
    </row>
    <row r="44" spans="1:27" x14ac:dyDescent="0.2">
      <c r="A44" s="25"/>
      <c r="B44" s="154" t="s">
        <v>238</v>
      </c>
      <c r="C44" s="134"/>
      <c r="D44" s="158">
        <f>D41-D43</f>
        <v>60.757575757575751</v>
      </c>
      <c r="E44" s="116"/>
      <c r="F44" s="116"/>
      <c r="G44" s="116"/>
      <c r="H44" s="116"/>
      <c r="I44" s="116"/>
      <c r="J44" s="116"/>
      <c r="K44" s="116"/>
      <c r="L44" s="116"/>
      <c r="M44" s="116"/>
      <c r="N44" s="25"/>
      <c r="R44" s="168"/>
      <c r="S44" s="168"/>
      <c r="T44" s="168"/>
      <c r="U44" s="168"/>
      <c r="V44" s="168"/>
      <c r="W44" s="168"/>
      <c r="X44" s="168"/>
      <c r="Y44" s="168"/>
      <c r="Z44" s="168"/>
      <c r="AA44" s="168"/>
    </row>
    <row r="45" spans="1:27" x14ac:dyDescent="0.2">
      <c r="A45" s="25"/>
      <c r="B45" s="154" t="s">
        <v>239</v>
      </c>
      <c r="C45" s="134"/>
      <c r="D45" s="169">
        <f>D44/D41</f>
        <v>0.37973484848484845</v>
      </c>
      <c r="E45" s="116"/>
      <c r="F45" s="116"/>
      <c r="G45" s="116"/>
      <c r="H45" s="116"/>
      <c r="I45" s="116"/>
      <c r="J45" s="116"/>
      <c r="K45" s="116"/>
      <c r="L45" s="116"/>
      <c r="M45" s="116"/>
      <c r="N45" s="25"/>
    </row>
    <row r="46" spans="1:27" x14ac:dyDescent="0.2">
      <c r="A46" s="25"/>
      <c r="B46" s="161" t="s">
        <v>263</v>
      </c>
      <c r="C46" s="141"/>
      <c r="D46" s="256">
        <f ca="1">IF(AND(D44&gt;0, D42&gt;0), D42/D44,0)</f>
        <v>3621.4849248756182</v>
      </c>
      <c r="E46" s="116"/>
      <c r="F46" s="116"/>
      <c r="G46" s="116"/>
      <c r="H46" s="116"/>
      <c r="I46" s="116"/>
      <c r="J46" s="116"/>
      <c r="K46" s="116"/>
      <c r="L46" s="116"/>
      <c r="M46" s="116"/>
      <c r="N46" s="25"/>
    </row>
    <row r="47" spans="1:27" x14ac:dyDescent="0.2">
      <c r="A47" s="2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25"/>
    </row>
    <row r="48" spans="1:27" ht="6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8.75" x14ac:dyDescent="0.3">
      <c r="A49" s="25"/>
      <c r="B49" s="31" t="s">
        <v>352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 t="s">
        <v>6</v>
      </c>
      <c r="N49" s="25"/>
    </row>
    <row r="50" spans="1:14" ht="18.75" x14ac:dyDescent="0.3">
      <c r="A50" s="25"/>
      <c r="B50" s="33" t="str">
        <f>'Input Sheet'!B2</f>
        <v>Name of Project: ABC Private Limited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5"/>
    </row>
    <row r="51" spans="1:14" ht="12.75" customHeight="1" x14ac:dyDescent="0.3">
      <c r="A51" s="25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25"/>
    </row>
    <row r="52" spans="1:14" s="171" customFormat="1" x14ac:dyDescent="0.2">
      <c r="A52" s="170"/>
      <c r="B52" s="36"/>
      <c r="C52" s="36" t="s">
        <v>37</v>
      </c>
      <c r="D52" s="36" t="s">
        <v>38</v>
      </c>
      <c r="E52" s="36" t="s">
        <v>39</v>
      </c>
      <c r="F52" s="36" t="s">
        <v>40</v>
      </c>
      <c r="G52" s="36" t="s">
        <v>41</v>
      </c>
      <c r="H52" s="36" t="s">
        <v>42</v>
      </c>
      <c r="I52" s="36" t="s">
        <v>43</v>
      </c>
      <c r="J52" s="36" t="s">
        <v>44</v>
      </c>
      <c r="K52" s="36" t="s">
        <v>45</v>
      </c>
      <c r="L52" s="36" t="s">
        <v>46</v>
      </c>
      <c r="M52" s="36" t="s">
        <v>47</v>
      </c>
      <c r="N52" s="170"/>
    </row>
    <row r="53" spans="1:14" ht="15" x14ac:dyDescent="0.25">
      <c r="A53" s="25"/>
      <c r="B53" s="50" t="s">
        <v>216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5"/>
    </row>
    <row r="54" spans="1:14" x14ac:dyDescent="0.2">
      <c r="A54" s="25"/>
      <c r="B54" s="28" t="s">
        <v>213</v>
      </c>
      <c r="C54" s="111"/>
      <c r="D54" s="111">
        <f ca="1">Calculations!F230</f>
        <v>3.813344425570276E-2</v>
      </c>
      <c r="E54" s="111">
        <f ca="1">Calculations!G230</f>
        <v>9.8750605048324294E-2</v>
      </c>
      <c r="F54" s="111">
        <f ca="1">Calculations!H230</f>
        <v>0.13425353265923931</v>
      </c>
      <c r="G54" s="111">
        <f ca="1">Calculations!I230</f>
        <v>0.1619329357830028</v>
      </c>
      <c r="H54" s="111">
        <f ca="1">Calculations!J230</f>
        <v>0.1786694263624265</v>
      </c>
      <c r="I54" s="111">
        <f ca="1">Calculations!K230</f>
        <v>0.1925195740914234</v>
      </c>
      <c r="J54" s="111">
        <f ca="1">Calculations!L230</f>
        <v>0.20029172359668021</v>
      </c>
      <c r="K54" s="111">
        <f ca="1">Calculations!M230</f>
        <v>0.20657784640327917</v>
      </c>
      <c r="L54" s="111">
        <f ca="1">Calculations!N230</f>
        <v>0.20462667515026262</v>
      </c>
      <c r="M54" s="111">
        <f ca="1">Calculations!O230</f>
        <v>0.20262940868031004</v>
      </c>
      <c r="N54" s="25"/>
    </row>
    <row r="55" spans="1:14" x14ac:dyDescent="0.2">
      <c r="A55" s="25"/>
      <c r="B55" s="28" t="s">
        <v>326</v>
      </c>
      <c r="C55" s="111"/>
      <c r="D55" s="111">
        <f ca="1">Calculations!F231</f>
        <v>0.12089505661396267</v>
      </c>
      <c r="E55" s="111">
        <f ca="1">Calculations!G231</f>
        <v>0.29830844000854329</v>
      </c>
      <c r="F55" s="111">
        <f ca="1">Calculations!H231</f>
        <v>0.4421337785077758</v>
      </c>
      <c r="G55" s="111">
        <f ca="1">Calculations!I231</f>
        <v>0.49719078351407114</v>
      </c>
      <c r="H55" s="111">
        <f ca="1">Calculations!J231</f>
        <v>0.51932909749601619</v>
      </c>
      <c r="I55" s="111">
        <f ca="1">Calculations!K231</f>
        <v>0.52708306522428505</v>
      </c>
      <c r="J55" s="111">
        <f ca="1">Calculations!L231</f>
        <v>0.51897790099481655</v>
      </c>
      <c r="K55" s="111">
        <f ca="1">Calculations!M231</f>
        <v>0.50897303449771503</v>
      </c>
      <c r="L55" s="111">
        <f ca="1">Calculations!N231</f>
        <v>0.45989903287601014</v>
      </c>
      <c r="M55" s="111">
        <f ca="1">Calculations!O231</f>
        <v>0.44218474652326784</v>
      </c>
      <c r="N55" s="25"/>
    </row>
    <row r="56" spans="1:14" x14ac:dyDescent="0.2">
      <c r="A56" s="25"/>
      <c r="B56" s="28" t="s">
        <v>325</v>
      </c>
      <c r="C56" s="111"/>
      <c r="D56" s="111">
        <f ca="1">Calculations!F232</f>
        <v>8.3269689796873048E-2</v>
      </c>
      <c r="E56" s="111">
        <f ca="1">Calculations!G232</f>
        <v>0.26401730216784375</v>
      </c>
      <c r="F56" s="111">
        <f ca="1">Calculations!H232</f>
        <v>0.3940573882670933</v>
      </c>
      <c r="G56" s="111">
        <f ca="1">Calculations!I232</f>
        <v>0.44121470720483669</v>
      </c>
      <c r="H56" s="111">
        <f ca="1">Calculations!J232</f>
        <v>0.44410710964057104</v>
      </c>
      <c r="I56" s="111">
        <f ca="1">Calculations!K232</f>
        <v>0.43303264925647739</v>
      </c>
      <c r="J56" s="111">
        <f ca="1">Calculations!L232</f>
        <v>0.41078466844774214</v>
      </c>
      <c r="K56" s="111">
        <f ca="1">Calculations!M232</f>
        <v>0.39043924919695799</v>
      </c>
      <c r="L56" s="111">
        <f ca="1">Calculations!N232</f>
        <v>0.34759313177407775</v>
      </c>
      <c r="M56" s="111">
        <f ca="1">Calculations!O232</f>
        <v>0.32980532043943361</v>
      </c>
      <c r="N56" s="25"/>
    </row>
    <row r="57" spans="1:14" x14ac:dyDescent="0.2">
      <c r="A57" s="25"/>
      <c r="B57" s="28" t="s">
        <v>148</v>
      </c>
      <c r="C57" s="111"/>
      <c r="D57" s="111">
        <f ca="1">Calculations!F233</f>
        <v>0.15602222900975921</v>
      </c>
      <c r="E57" s="111">
        <f ca="1">Calculations!G233</f>
        <v>0.36289032408877026</v>
      </c>
      <c r="F57" s="111">
        <f ca="1">Calculations!H233</f>
        <v>0.41783953011166564</v>
      </c>
      <c r="G57" s="111">
        <f ca="1">Calculations!I233</f>
        <v>0.46594871889111461</v>
      </c>
      <c r="H57" s="111">
        <f ca="1">Calculations!J233</f>
        <v>0.46683526722857249</v>
      </c>
      <c r="I57" s="111">
        <f ca="1">Calculations!K233</f>
        <v>0.45311592075728141</v>
      </c>
      <c r="J57" s="111">
        <f ca="1">Calculations!L233</f>
        <v>0.4282071388371293</v>
      </c>
      <c r="K57" s="111">
        <f ca="1">Calculations!M233</f>
        <v>0.40569690497798572</v>
      </c>
      <c r="L57" s="111">
        <f ca="1">Calculations!N233</f>
        <v>0.35986082909893802</v>
      </c>
      <c r="M57" s="111">
        <f ca="1">Calculations!O233</f>
        <v>0.33985969272499661</v>
      </c>
      <c r="N57" s="25"/>
    </row>
    <row r="58" spans="1:14" ht="15" x14ac:dyDescent="0.25">
      <c r="A58" s="25"/>
      <c r="B58" s="50" t="s">
        <v>217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5"/>
    </row>
    <row r="59" spans="1:14" x14ac:dyDescent="0.2">
      <c r="A59" s="25"/>
      <c r="B59" s="28" t="s">
        <v>150</v>
      </c>
      <c r="C59" s="26"/>
      <c r="D59" s="26">
        <f ca="1">Calculations!F235</f>
        <v>6.8689475138965701</v>
      </c>
      <c r="E59" s="26">
        <f ca="1">Calculations!G235</f>
        <v>7.7342495413454424</v>
      </c>
      <c r="F59" s="26">
        <f ca="1">Calculations!H235</f>
        <v>9.4483859642690042</v>
      </c>
      <c r="G59" s="26">
        <f ca="1">Calculations!I235</f>
        <v>13.189957646602286</v>
      </c>
      <c r="H59" s="26">
        <f ca="1">Calculations!J235</f>
        <v>16.643145451157739</v>
      </c>
      <c r="I59" s="26">
        <f ca="1">Calculations!K235</f>
        <v>19.75564974865981</v>
      </c>
      <c r="J59" s="26">
        <f ca="1">Calculations!L235</f>
        <v>22.550071147725273</v>
      </c>
      <c r="K59" s="26">
        <f ca="1">Calculations!M235</f>
        <v>25.113631763546572</v>
      </c>
      <c r="L59" s="26">
        <f ca="1">Calculations!N235</f>
        <v>28.206503820809417</v>
      </c>
      <c r="M59" s="26">
        <f ca="1">Calculations!O235</f>
        <v>32.841857131622596</v>
      </c>
      <c r="N59" s="25"/>
    </row>
    <row r="60" spans="1:14" x14ac:dyDescent="0.2">
      <c r="A60" s="25"/>
      <c r="B60" s="28" t="s">
        <v>151</v>
      </c>
      <c r="C60" s="26"/>
      <c r="D60" s="26">
        <f ca="1">Calculations!F236</f>
        <v>5.6420704298845763</v>
      </c>
      <c r="E60" s="26">
        <f ca="1">Calculations!G236</f>
        <v>6.416341197455635</v>
      </c>
      <c r="F60" s="26">
        <f ca="1">Calculations!H236</f>
        <v>8.0119126402821479</v>
      </c>
      <c r="G60" s="26">
        <f ca="1">Calculations!I236</f>
        <v>11.624225724806156</v>
      </c>
      <c r="H60" s="26">
        <f ca="1">Calculations!J236</f>
        <v>14.936722960477685</v>
      </c>
      <c r="I60" s="26">
        <f ca="1">Calculations!K236</f>
        <v>17.896327896562195</v>
      </c>
      <c r="J60" s="26">
        <f ca="1">Calculations!L236</f>
        <v>20.524832700326176</v>
      </c>
      <c r="K60" s="26">
        <f ca="1">Calculations!M236</f>
        <v>23.007739784226423</v>
      </c>
      <c r="L60" s="26">
        <f ca="1">Calculations!N236</f>
        <v>25.911703113456884</v>
      </c>
      <c r="M60" s="26">
        <f ca="1">Calculations!O236</f>
        <v>32.841857131622596</v>
      </c>
      <c r="N60" s="25"/>
    </row>
    <row r="61" spans="1:14" ht="15" x14ac:dyDescent="0.25">
      <c r="A61" s="25"/>
      <c r="B61" s="50" t="s">
        <v>214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5"/>
    </row>
    <row r="62" spans="1:14" x14ac:dyDescent="0.2">
      <c r="A62" s="25"/>
      <c r="B62" s="28" t="s">
        <v>218</v>
      </c>
      <c r="C62" s="26"/>
      <c r="D62" s="26">
        <f>Calculations!F238</f>
        <v>42.303185902672425</v>
      </c>
      <c r="E62" s="26">
        <f>Calculations!G238</f>
        <v>39.28801505136969</v>
      </c>
      <c r="F62" s="26">
        <f>Calculations!H238</f>
        <v>35.899977351911993</v>
      </c>
      <c r="G62" s="26">
        <f>Calculations!I238</f>
        <v>32.782366771958031</v>
      </c>
      <c r="H62" s="26">
        <f>Calculations!J238</f>
        <v>29.91926761458582</v>
      </c>
      <c r="I62" s="26">
        <f>Calculations!K238</f>
        <v>27.293962426236988</v>
      </c>
      <c r="J62" s="26">
        <f>Calculations!L238</f>
        <v>24.889655496077015</v>
      </c>
      <c r="K62" s="26">
        <f>Calculations!M238</f>
        <v>23.864225956328916</v>
      </c>
      <c r="L62" s="26">
        <f>Calculations!N238</f>
        <v>21.713798060671209</v>
      </c>
      <c r="M62" s="26">
        <f>Calculations!O238</f>
        <v>0</v>
      </c>
      <c r="N62" s="25"/>
    </row>
    <row r="63" spans="1:14" x14ac:dyDescent="0.2">
      <c r="A63" s="25"/>
      <c r="B63" s="28" t="s">
        <v>219</v>
      </c>
      <c r="C63" s="26"/>
      <c r="D63" s="26">
        <f>Calculations!F239</f>
        <v>14.794520547945204</v>
      </c>
      <c r="E63" s="26">
        <f>Calculations!G239</f>
        <v>13.50912895640066</v>
      </c>
      <c r="F63" s="26">
        <f>Calculations!H239</f>
        <v>13.641128248211043</v>
      </c>
      <c r="G63" s="26">
        <f>Calculations!I239</f>
        <v>13.673224850636585</v>
      </c>
      <c r="H63" s="26">
        <f>Calculations!J239</f>
        <v>13.701305194155907</v>
      </c>
      <c r="I63" s="26">
        <f>Calculations!K239</f>
        <v>13.726078725877077</v>
      </c>
      <c r="J63" s="26">
        <f>Calculations!L239</f>
        <v>13.748097091883194</v>
      </c>
      <c r="K63" s="26">
        <f>Calculations!M239</f>
        <v>13.767795700276727</v>
      </c>
      <c r="L63" s="26">
        <f>Calculations!N239</f>
        <v>14.116143409582486</v>
      </c>
      <c r="M63" s="26">
        <f>Calculations!O239</f>
        <v>14.122042341220421</v>
      </c>
      <c r="N63" s="25"/>
    </row>
    <row r="64" spans="1:14" x14ac:dyDescent="0.2">
      <c r="A64" s="25"/>
      <c r="B64" s="28" t="s">
        <v>220</v>
      </c>
      <c r="C64" s="26"/>
      <c r="D64" s="26">
        <f>Calculations!F240</f>
        <v>3.3641468682505398</v>
      </c>
      <c r="E64" s="26">
        <f>Calculations!G240</f>
        <v>4.8288422131147541</v>
      </c>
      <c r="F64" s="26">
        <f>Calculations!H240</f>
        <v>6.7754273666327904</v>
      </c>
      <c r="G64" s="26">
        <f>Calculations!I240</f>
        <v>9.447289529286687</v>
      </c>
      <c r="H64" s="26">
        <f>Calculations!J240</f>
        <v>13.101637541301711</v>
      </c>
      <c r="I64" s="26">
        <f>Calculations!K240</f>
        <v>18.084105312899919</v>
      </c>
      <c r="J64" s="26">
        <f>Calculations!L240</f>
        <v>24.85850759766835</v>
      </c>
      <c r="K64" s="26">
        <f>Calculations!M240</f>
        <v>34.046448519399888</v>
      </c>
      <c r="L64" s="26">
        <f>Calculations!N240</f>
        <v>44.192831643287441</v>
      </c>
      <c r="M64" s="26">
        <f>Calculations!O240</f>
        <v>57.291334821975255</v>
      </c>
      <c r="N64" s="25"/>
    </row>
    <row r="65" spans="1:14" x14ac:dyDescent="0.2">
      <c r="A65" s="25"/>
      <c r="B65" s="28" t="s">
        <v>221</v>
      </c>
      <c r="C65" s="26"/>
      <c r="D65" s="26">
        <f ca="1">Calculations!F241</f>
        <v>2.1836393596788803</v>
      </c>
      <c r="E65" s="26">
        <f ca="1">Calculations!G241</f>
        <v>2.6735765521501871</v>
      </c>
      <c r="F65" s="26">
        <f ca="1">Calculations!H241</f>
        <v>2.9351733281185606</v>
      </c>
      <c r="G65" s="26">
        <f ca="1">Calculations!I241</f>
        <v>2.7246755273805672</v>
      </c>
      <c r="H65" s="26">
        <f ca="1">Calculations!J241</f>
        <v>2.4856357278480918</v>
      </c>
      <c r="I65" s="26">
        <f ca="1">Calculations!K241</f>
        <v>2.2492915398350064</v>
      </c>
      <c r="J65" s="26">
        <f ca="1">Calculations!L241</f>
        <v>2.050931816208859</v>
      </c>
      <c r="K65" s="26">
        <f ca="1">Calculations!M241</f>
        <v>1.8900344639799684</v>
      </c>
      <c r="L65" s="26">
        <f ca="1">Calculations!N241</f>
        <v>1.6986696945490181</v>
      </c>
      <c r="M65" s="26">
        <f ca="1">Calculations!O241</f>
        <v>1.627628104860978</v>
      </c>
      <c r="N65" s="25"/>
    </row>
    <row r="66" spans="1:14" ht="15" x14ac:dyDescent="0.25">
      <c r="A66" s="25"/>
      <c r="B66" s="50" t="s">
        <v>215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5"/>
    </row>
    <row r="67" spans="1:14" x14ac:dyDescent="0.2">
      <c r="A67" s="25"/>
      <c r="B67" s="28" t="s">
        <v>158</v>
      </c>
      <c r="C67" s="111">
        <f ca="1">Calculations!E243</f>
        <v>0.49999994882853005</v>
      </c>
      <c r="D67" s="111">
        <f ca="1">Calculations!F243</f>
        <v>0.42422269532539114</v>
      </c>
      <c r="E67" s="111">
        <f ca="1">Calculations!G243</f>
        <v>0.22082455739373277</v>
      </c>
      <c r="F67" s="111">
        <f ca="1">Calculations!H243</f>
        <v>0</v>
      </c>
      <c r="G67" s="111">
        <f ca="1">Calculations!I243</f>
        <v>0</v>
      </c>
      <c r="H67" s="111">
        <f ca="1">Calculations!J243</f>
        <v>0</v>
      </c>
      <c r="I67" s="111">
        <f ca="1">Calculations!K243</f>
        <v>0</v>
      </c>
      <c r="J67" s="111">
        <f ca="1">Calculations!L243</f>
        <v>0</v>
      </c>
      <c r="K67" s="111">
        <f ca="1">Calculations!M243</f>
        <v>0</v>
      </c>
      <c r="L67" s="111">
        <f ca="1">Calculations!N243</f>
        <v>0</v>
      </c>
      <c r="M67" s="111">
        <f ca="1">Calculations!O243</f>
        <v>0</v>
      </c>
      <c r="N67" s="25"/>
    </row>
    <row r="68" spans="1:14" ht="9.75" customHeight="1" x14ac:dyDescent="0.2">
      <c r="A68" s="25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25"/>
    </row>
    <row r="69" spans="1:14" ht="6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8.75" x14ac:dyDescent="0.3">
      <c r="A70" s="25"/>
      <c r="B70" s="31" t="s">
        <v>353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2" t="s">
        <v>6</v>
      </c>
      <c r="N70" s="25"/>
    </row>
    <row r="71" spans="1:14" ht="18.75" x14ac:dyDescent="0.3">
      <c r="A71" s="25"/>
      <c r="B71" s="33" t="str">
        <f>'Input Sheet'!B2</f>
        <v>Name of Project: ABC Private Limited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5"/>
    </row>
    <row r="72" spans="1:14" x14ac:dyDescent="0.2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5"/>
    </row>
    <row r="73" spans="1:14" s="171" customFormat="1" x14ac:dyDescent="0.2">
      <c r="A73" s="170"/>
      <c r="B73" s="35"/>
      <c r="C73" s="35"/>
      <c r="D73" s="36" t="s">
        <v>38</v>
      </c>
      <c r="E73" s="36" t="s">
        <v>39</v>
      </c>
      <c r="F73" s="36" t="s">
        <v>40</v>
      </c>
      <c r="G73" s="36" t="s">
        <v>41</v>
      </c>
      <c r="H73" s="36" t="s">
        <v>42</v>
      </c>
      <c r="I73" s="36" t="s">
        <v>43</v>
      </c>
      <c r="J73" s="36" t="s">
        <v>44</v>
      </c>
      <c r="K73" s="36" t="s">
        <v>45</v>
      </c>
      <c r="L73" s="36" t="s">
        <v>46</v>
      </c>
      <c r="M73" s="36" t="s">
        <v>47</v>
      </c>
      <c r="N73" s="170"/>
    </row>
    <row r="74" spans="1:14" ht="14.25" x14ac:dyDescent="0.2">
      <c r="A74" s="25"/>
      <c r="B74" s="46" t="s">
        <v>72</v>
      </c>
      <c r="C74" s="26"/>
      <c r="D74" s="26">
        <f>Calculations!F72</f>
        <v>7788000</v>
      </c>
      <c r="E74" s="26">
        <f>Calculations!G72</f>
        <v>9425900</v>
      </c>
      <c r="F74" s="26">
        <f>Calculations!H72</f>
        <v>11167090</v>
      </c>
      <c r="G74" s="26">
        <f>Calculations!I72</f>
        <v>13162259.000000004</v>
      </c>
      <c r="H74" s="26">
        <f>Calculations!J72</f>
        <v>15444790.900000006</v>
      </c>
      <c r="I74" s="26">
        <f>Calculations!K72</f>
        <v>18052206.590000007</v>
      </c>
      <c r="J74" s="26">
        <f>Calculations!L72</f>
        <v>21026657.509000011</v>
      </c>
      <c r="K74" s="26">
        <f>Calculations!M72</f>
        <v>24415476.545900017</v>
      </c>
      <c r="L74" s="26">
        <f>Calculations!N72</f>
        <v>26880603.677400019</v>
      </c>
      <c r="M74" s="26">
        <f>Calculations!O72</f>
        <v>29568664.045140024</v>
      </c>
      <c r="N74" s="25"/>
    </row>
    <row r="75" spans="1:14" ht="4.5" customHeight="1" x14ac:dyDescent="0.2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5"/>
    </row>
    <row r="76" spans="1:14" ht="15" x14ac:dyDescent="0.25">
      <c r="A76" s="25"/>
      <c r="B76" s="41" t="s">
        <v>74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5"/>
    </row>
    <row r="77" spans="1:14" x14ac:dyDescent="0.2">
      <c r="A77" s="25"/>
      <c r="B77" s="28" t="s">
        <v>75</v>
      </c>
      <c r="C77" s="26"/>
      <c r="D77" s="26">
        <f>Calculations!F75</f>
        <v>2920500</v>
      </c>
      <c r="E77" s="26">
        <f>Calculations!G75</f>
        <v>3534712.5</v>
      </c>
      <c r="F77" s="26">
        <f>Calculations!H75</f>
        <v>4187658.75</v>
      </c>
      <c r="G77" s="26">
        <f>Calculations!I75</f>
        <v>4935847.1250000019</v>
      </c>
      <c r="H77" s="26">
        <f>Calculations!J75</f>
        <v>5791796.5875000022</v>
      </c>
      <c r="I77" s="26">
        <f>Calculations!K75</f>
        <v>6769577.4712500032</v>
      </c>
      <c r="J77" s="26">
        <f>Calculations!L75</f>
        <v>7884996.5658750031</v>
      </c>
      <c r="K77" s="26">
        <f>Calculations!M75</f>
        <v>9155803.7047125064</v>
      </c>
      <c r="L77" s="26">
        <f>Calculations!N75</f>
        <v>10080226.379025007</v>
      </c>
      <c r="M77" s="26">
        <f>Calculations!O75</f>
        <v>11088249.01692751</v>
      </c>
      <c r="N77" s="25"/>
    </row>
    <row r="78" spans="1:14" x14ac:dyDescent="0.2">
      <c r="A78" s="25"/>
      <c r="B78" s="28" t="s">
        <v>76</v>
      </c>
      <c r="C78" s="26"/>
      <c r="D78" s="26">
        <f>Calculations!F76</f>
        <v>486750</v>
      </c>
      <c r="E78" s="26">
        <f>Calculations!G76</f>
        <v>589118.75</v>
      </c>
      <c r="F78" s="26">
        <f>Calculations!H76</f>
        <v>697943.125</v>
      </c>
      <c r="G78" s="26">
        <f>Calculations!I76</f>
        <v>822641.18750000023</v>
      </c>
      <c r="H78" s="26">
        <f>Calculations!J76</f>
        <v>965299.43125000037</v>
      </c>
      <c r="I78" s="26">
        <f>Calculations!K76</f>
        <v>1128262.9118750005</v>
      </c>
      <c r="J78" s="26">
        <f>Calculations!L76</f>
        <v>1314166.0943125007</v>
      </c>
      <c r="K78" s="26">
        <f>Calculations!M76</f>
        <v>1525967.2841187511</v>
      </c>
      <c r="L78" s="26">
        <f>Calculations!N76</f>
        <v>1680037.7298375012</v>
      </c>
      <c r="M78" s="26">
        <f>Calculations!O76</f>
        <v>1848041.5028212515</v>
      </c>
      <c r="N78" s="25"/>
    </row>
    <row r="79" spans="1:14" x14ac:dyDescent="0.2">
      <c r="A79" s="25"/>
      <c r="B79" s="28" t="s">
        <v>159</v>
      </c>
      <c r="C79" s="26"/>
      <c r="D79" s="26">
        <f>Calculations!F77</f>
        <v>243375</v>
      </c>
      <c r="E79" s="26">
        <f>Calculations!G77</f>
        <v>294559.375</v>
      </c>
      <c r="F79" s="26">
        <f>Calculations!H77</f>
        <v>348971.5625</v>
      </c>
      <c r="G79" s="26">
        <f>Calculations!I77</f>
        <v>411320.59375000012</v>
      </c>
      <c r="H79" s="26">
        <f>Calculations!J77</f>
        <v>482649.71562500019</v>
      </c>
      <c r="I79" s="26">
        <f>Calculations!K77</f>
        <v>564131.45593750023</v>
      </c>
      <c r="J79" s="26">
        <f>Calculations!L77</f>
        <v>657083.04715625034</v>
      </c>
      <c r="K79" s="26">
        <f>Calculations!M77</f>
        <v>762983.64205937553</v>
      </c>
      <c r="L79" s="26">
        <f>Calculations!N77</f>
        <v>840018.86491875059</v>
      </c>
      <c r="M79" s="26">
        <f>Calculations!O77</f>
        <v>924020.75141062576</v>
      </c>
      <c r="N79" s="25"/>
    </row>
    <row r="80" spans="1:14" x14ac:dyDescent="0.2">
      <c r="A80" s="25"/>
      <c r="B80" s="28" t="s">
        <v>77</v>
      </c>
      <c r="C80" s="26"/>
      <c r="D80" s="26">
        <f>Calculations!F78</f>
        <v>1140000</v>
      </c>
      <c r="E80" s="26">
        <f>Calculations!G78</f>
        <v>1254000</v>
      </c>
      <c r="F80" s="26">
        <f>Calculations!H78</f>
        <v>1379400.0000000002</v>
      </c>
      <c r="G80" s="26">
        <f>Calculations!I78</f>
        <v>1517340.0000000005</v>
      </c>
      <c r="H80" s="26">
        <f>Calculations!J78</f>
        <v>1669074.0000000007</v>
      </c>
      <c r="I80" s="26">
        <f>Calculations!K78</f>
        <v>1835981.4000000008</v>
      </c>
      <c r="J80" s="26">
        <f>Calculations!L78</f>
        <v>2019579.5400000012</v>
      </c>
      <c r="K80" s="26">
        <f>Calculations!M78</f>
        <v>2221537.4940000018</v>
      </c>
      <c r="L80" s="26">
        <f>Calculations!N78</f>
        <v>2443691.2434000019</v>
      </c>
      <c r="M80" s="26">
        <f>Calculations!O78</f>
        <v>2688060.367740002</v>
      </c>
      <c r="N80" s="25"/>
    </row>
    <row r="81" spans="1:14" s="171" customFormat="1" x14ac:dyDescent="0.2">
      <c r="A81" s="25"/>
      <c r="B81" s="28" t="s">
        <v>24</v>
      </c>
      <c r="C81" s="26"/>
      <c r="D81" s="26">
        <f>Calculations!F79</f>
        <v>60000</v>
      </c>
      <c r="E81" s="26">
        <f>Calculations!G79</f>
        <v>66000</v>
      </c>
      <c r="F81" s="26">
        <f>Calculations!H79</f>
        <v>72600.000000000015</v>
      </c>
      <c r="G81" s="26">
        <f>Calculations!I79</f>
        <v>79860.000000000029</v>
      </c>
      <c r="H81" s="26">
        <f>Calculations!J79</f>
        <v>87846.000000000029</v>
      </c>
      <c r="I81" s="26">
        <f>Calculations!K79</f>
        <v>96630.600000000049</v>
      </c>
      <c r="J81" s="26">
        <f>Calculations!L79</f>
        <v>106293.66000000006</v>
      </c>
      <c r="K81" s="26">
        <f>Calculations!M79</f>
        <v>116923.02600000007</v>
      </c>
      <c r="L81" s="26">
        <f>Calculations!N79</f>
        <v>128615.3286000001</v>
      </c>
      <c r="M81" s="26">
        <f>Calculations!O79</f>
        <v>141476.8614600001</v>
      </c>
      <c r="N81" s="25"/>
    </row>
    <row r="82" spans="1:14" x14ac:dyDescent="0.2">
      <c r="A82" s="25"/>
      <c r="B82" s="352" t="s">
        <v>234</v>
      </c>
      <c r="C82" s="352"/>
      <c r="D82" s="115">
        <f t="shared" ref="D82:M82" si="0">SUM(D77:D81)</f>
        <v>4850625</v>
      </c>
      <c r="E82" s="115">
        <f t="shared" si="0"/>
        <v>5738390.625</v>
      </c>
      <c r="F82" s="115">
        <f t="shared" si="0"/>
        <v>6686573.4375</v>
      </c>
      <c r="G82" s="115">
        <f t="shared" si="0"/>
        <v>7767008.9062500019</v>
      </c>
      <c r="H82" s="115">
        <f t="shared" si="0"/>
        <v>8996665.7343750037</v>
      </c>
      <c r="I82" s="115">
        <f t="shared" si="0"/>
        <v>10394583.839062504</v>
      </c>
      <c r="J82" s="115">
        <f t="shared" si="0"/>
        <v>11982118.907343755</v>
      </c>
      <c r="K82" s="115">
        <f t="shared" si="0"/>
        <v>13783215.150890637</v>
      </c>
      <c r="L82" s="115">
        <f t="shared" si="0"/>
        <v>15172589.54578126</v>
      </c>
      <c r="M82" s="115">
        <f t="shared" si="0"/>
        <v>16689848.50035939</v>
      </c>
      <c r="N82" s="25"/>
    </row>
    <row r="83" spans="1:14" s="171" customFormat="1" ht="13.5" thickBot="1" x14ac:dyDescent="0.25">
      <c r="A83" s="25"/>
      <c r="B83" s="30" t="s">
        <v>1</v>
      </c>
      <c r="C83" s="30"/>
      <c r="D83" s="30">
        <f t="shared" ref="D83:M83" si="1">D74-D82</f>
        <v>2937375</v>
      </c>
      <c r="E83" s="30">
        <f t="shared" si="1"/>
        <v>3687509.375</v>
      </c>
      <c r="F83" s="30">
        <f t="shared" si="1"/>
        <v>4480516.5625</v>
      </c>
      <c r="G83" s="30">
        <f t="shared" si="1"/>
        <v>5395250.0937500019</v>
      </c>
      <c r="H83" s="30">
        <f t="shared" si="1"/>
        <v>6448125.1656250022</v>
      </c>
      <c r="I83" s="30">
        <f t="shared" si="1"/>
        <v>7657622.7509375028</v>
      </c>
      <c r="J83" s="30">
        <f t="shared" si="1"/>
        <v>9044538.6016562562</v>
      </c>
      <c r="K83" s="30">
        <f t="shared" si="1"/>
        <v>10632261.39500938</v>
      </c>
      <c r="L83" s="30">
        <f t="shared" si="1"/>
        <v>11708014.131618759</v>
      </c>
      <c r="M83" s="30">
        <f t="shared" si="1"/>
        <v>12878815.544780634</v>
      </c>
      <c r="N83" s="25"/>
    </row>
    <row r="84" spans="1:14" s="171" customFormat="1" x14ac:dyDescent="0.2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5"/>
    </row>
    <row r="85" spans="1:14" ht="15" x14ac:dyDescent="0.25">
      <c r="A85" s="25"/>
      <c r="B85" s="41" t="s">
        <v>79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5"/>
    </row>
    <row r="86" spans="1:14" x14ac:dyDescent="0.2">
      <c r="A86" s="25"/>
      <c r="B86" s="28" t="s">
        <v>80</v>
      </c>
      <c r="C86" s="26"/>
      <c r="D86" s="26">
        <f>Calculations!F84</f>
        <v>1020000</v>
      </c>
      <c r="E86" s="26">
        <f>Calculations!G84</f>
        <v>1122000</v>
      </c>
      <c r="F86" s="26">
        <f>Calculations!H84</f>
        <v>1234200.0000000002</v>
      </c>
      <c r="G86" s="26">
        <f>Calculations!I84</f>
        <v>1357620.0000000005</v>
      </c>
      <c r="H86" s="26">
        <f>Calculations!J84</f>
        <v>1493382.0000000007</v>
      </c>
      <c r="I86" s="26">
        <f>Calculations!K84</f>
        <v>1642720.2000000009</v>
      </c>
      <c r="J86" s="26">
        <f>Calculations!L84</f>
        <v>1806992.2200000011</v>
      </c>
      <c r="K86" s="26">
        <f>Calculations!M84</f>
        <v>1987691.4420000014</v>
      </c>
      <c r="L86" s="26">
        <f>Calculations!N84</f>
        <v>2186460.5862000016</v>
      </c>
      <c r="M86" s="26">
        <f>Calculations!O84</f>
        <v>2405106.6448200019</v>
      </c>
      <c r="N86" s="25"/>
    </row>
    <row r="87" spans="1:14" x14ac:dyDescent="0.2">
      <c r="A87" s="25"/>
      <c r="B87" s="28" t="s">
        <v>81</v>
      </c>
      <c r="C87" s="26"/>
      <c r="D87" s="26">
        <f>Calculations!F85</f>
        <v>180000</v>
      </c>
      <c r="E87" s="26">
        <f>Calculations!G85</f>
        <v>198000.00000000003</v>
      </c>
      <c r="F87" s="26">
        <f>Calculations!H85</f>
        <v>217800.00000000003</v>
      </c>
      <c r="G87" s="26">
        <f>Calculations!I85</f>
        <v>239580.00000000009</v>
      </c>
      <c r="H87" s="26">
        <f>Calculations!J85</f>
        <v>263538.00000000012</v>
      </c>
      <c r="I87" s="26">
        <f>Calculations!K85</f>
        <v>289891.80000000016</v>
      </c>
      <c r="J87" s="26">
        <f>Calculations!L85</f>
        <v>318880.98000000021</v>
      </c>
      <c r="K87" s="26">
        <f>Calculations!M85</f>
        <v>350769.07800000027</v>
      </c>
      <c r="L87" s="26">
        <f>Calculations!N85</f>
        <v>385845.98580000026</v>
      </c>
      <c r="M87" s="26">
        <f>Calculations!O85</f>
        <v>424430.58438000036</v>
      </c>
      <c r="N87" s="25"/>
    </row>
    <row r="88" spans="1:14" x14ac:dyDescent="0.2">
      <c r="A88" s="25"/>
      <c r="B88" s="28" t="s">
        <v>82</v>
      </c>
      <c r="C88" s="26"/>
      <c r="D88" s="26">
        <f>Calculations!F86</f>
        <v>180000</v>
      </c>
      <c r="E88" s="26">
        <f>Calculations!G86</f>
        <v>198000.00000000003</v>
      </c>
      <c r="F88" s="26">
        <f>Calculations!H86</f>
        <v>217800.00000000003</v>
      </c>
      <c r="G88" s="26">
        <f>Calculations!I86</f>
        <v>239580.00000000009</v>
      </c>
      <c r="H88" s="26">
        <f>Calculations!J86</f>
        <v>263538.00000000012</v>
      </c>
      <c r="I88" s="26">
        <f>Calculations!K86</f>
        <v>289891.80000000016</v>
      </c>
      <c r="J88" s="26">
        <f>Calculations!L86</f>
        <v>318880.98000000021</v>
      </c>
      <c r="K88" s="26">
        <f>Calculations!M86</f>
        <v>350769.07800000027</v>
      </c>
      <c r="L88" s="26">
        <f>Calculations!N86</f>
        <v>385845.98580000026</v>
      </c>
      <c r="M88" s="26">
        <f>Calculations!O86</f>
        <v>424430.58438000036</v>
      </c>
      <c r="N88" s="25"/>
    </row>
    <row r="89" spans="1:14" x14ac:dyDescent="0.2">
      <c r="A89" s="25"/>
      <c r="B89" s="28" t="s">
        <v>83</v>
      </c>
      <c r="C89" s="26"/>
      <c r="D89" s="26">
        <f>Calculations!F87</f>
        <v>60000</v>
      </c>
      <c r="E89" s="26">
        <f>Calculations!G87</f>
        <v>66000</v>
      </c>
      <c r="F89" s="26">
        <f>Calculations!H87</f>
        <v>72600.000000000015</v>
      </c>
      <c r="G89" s="26">
        <f>Calculations!I87</f>
        <v>79860.000000000029</v>
      </c>
      <c r="H89" s="26">
        <f>Calculations!J87</f>
        <v>87846.000000000044</v>
      </c>
      <c r="I89" s="26">
        <f>Calculations!K87</f>
        <v>96630.600000000049</v>
      </c>
      <c r="J89" s="26">
        <f>Calculations!L87</f>
        <v>106293.66000000006</v>
      </c>
      <c r="K89" s="26">
        <f>Calculations!M87</f>
        <v>116923.02600000009</v>
      </c>
      <c r="L89" s="26">
        <f>Calculations!N87</f>
        <v>128615.3286000001</v>
      </c>
      <c r="M89" s="26">
        <f>Calculations!O87</f>
        <v>141476.8614600001</v>
      </c>
      <c r="N89" s="25"/>
    </row>
    <row r="90" spans="1:14" x14ac:dyDescent="0.2">
      <c r="A90" s="25"/>
      <c r="B90" s="28" t="s">
        <v>84</v>
      </c>
      <c r="C90" s="26"/>
      <c r="D90" s="26">
        <f>Calculations!F88</f>
        <v>36000</v>
      </c>
      <c r="E90" s="26">
        <f>Calculations!G88</f>
        <v>39600</v>
      </c>
      <c r="F90" s="26">
        <f>Calculations!H88</f>
        <v>43560.000000000007</v>
      </c>
      <c r="G90" s="26">
        <f>Calculations!I88</f>
        <v>47916.000000000015</v>
      </c>
      <c r="H90" s="26">
        <f>Calculations!J88</f>
        <v>52707.60000000002</v>
      </c>
      <c r="I90" s="26">
        <f>Calculations!K88</f>
        <v>57978.36000000003</v>
      </c>
      <c r="J90" s="26">
        <f>Calculations!L88</f>
        <v>63776.19600000004</v>
      </c>
      <c r="K90" s="26">
        <f>Calculations!M88</f>
        <v>70153.815600000045</v>
      </c>
      <c r="L90" s="26">
        <f>Calculations!N88</f>
        <v>77169.197160000054</v>
      </c>
      <c r="M90" s="26">
        <f>Calculations!O88</f>
        <v>84886.116876000073</v>
      </c>
      <c r="N90" s="25"/>
    </row>
    <row r="91" spans="1:14" x14ac:dyDescent="0.2">
      <c r="A91" s="25"/>
      <c r="B91" s="28" t="s">
        <v>25</v>
      </c>
      <c r="C91" s="26"/>
      <c r="D91" s="26">
        <f>Calculations!F89</f>
        <v>72000</v>
      </c>
      <c r="E91" s="26">
        <f>Calculations!G89</f>
        <v>79200</v>
      </c>
      <c r="F91" s="26">
        <f>Calculations!H89</f>
        <v>87120.000000000015</v>
      </c>
      <c r="G91" s="26">
        <f>Calculations!I89</f>
        <v>95832.000000000029</v>
      </c>
      <c r="H91" s="26">
        <f>Calculations!J89</f>
        <v>105415.20000000004</v>
      </c>
      <c r="I91" s="26">
        <f>Calculations!K89</f>
        <v>115956.72000000006</v>
      </c>
      <c r="J91" s="26">
        <f>Calculations!L89</f>
        <v>127552.39200000008</v>
      </c>
      <c r="K91" s="26">
        <f>Calculations!M89</f>
        <v>140307.63120000009</v>
      </c>
      <c r="L91" s="26">
        <f>Calculations!N89</f>
        <v>154338.39432000011</v>
      </c>
      <c r="M91" s="26">
        <f>Calculations!O89</f>
        <v>169772.23375200015</v>
      </c>
      <c r="N91" s="25"/>
    </row>
    <row r="92" spans="1:14" ht="25.5" x14ac:dyDescent="0.2">
      <c r="A92" s="25"/>
      <c r="B92" s="172" t="s">
        <v>312</v>
      </c>
      <c r="C92" s="26"/>
      <c r="D92" s="173">
        <f>Calculations!F90</f>
        <v>60000</v>
      </c>
      <c r="E92" s="173">
        <f>Calculations!G90</f>
        <v>66000</v>
      </c>
      <c r="F92" s="173">
        <f>Calculations!H90</f>
        <v>72600.000000000015</v>
      </c>
      <c r="G92" s="173">
        <f>Calculations!I90</f>
        <v>79860.000000000029</v>
      </c>
      <c r="H92" s="173">
        <f>Calculations!J90</f>
        <v>87846.000000000044</v>
      </c>
      <c r="I92" s="173">
        <f>Calculations!K90</f>
        <v>96630.600000000049</v>
      </c>
      <c r="J92" s="173">
        <f>Calculations!L90</f>
        <v>106293.66000000006</v>
      </c>
      <c r="K92" s="173">
        <f>Calculations!M90</f>
        <v>116923.02600000009</v>
      </c>
      <c r="L92" s="173">
        <f>Calculations!N90</f>
        <v>128615.3286000001</v>
      </c>
      <c r="M92" s="173">
        <f>Calculations!O90</f>
        <v>141476.8614600001</v>
      </c>
      <c r="N92" s="25"/>
    </row>
    <row r="93" spans="1:14" x14ac:dyDescent="0.2">
      <c r="A93" s="25"/>
      <c r="B93" s="28" t="s">
        <v>26</v>
      </c>
      <c r="C93" s="26"/>
      <c r="D93" s="26">
        <f>Calculations!F91</f>
        <v>180000</v>
      </c>
      <c r="E93" s="26">
        <f>Calculations!G91</f>
        <v>198000.00000000003</v>
      </c>
      <c r="F93" s="26">
        <f>Calculations!H91</f>
        <v>217800.00000000003</v>
      </c>
      <c r="G93" s="26">
        <f>Calculations!I91</f>
        <v>239580.00000000009</v>
      </c>
      <c r="H93" s="26">
        <f>Calculations!J91</f>
        <v>263538.00000000012</v>
      </c>
      <c r="I93" s="26">
        <f>Calculations!K91</f>
        <v>289891.80000000016</v>
      </c>
      <c r="J93" s="26">
        <f>Calculations!L91</f>
        <v>318880.98000000021</v>
      </c>
      <c r="K93" s="26">
        <f>Calculations!M91</f>
        <v>350769.07800000027</v>
      </c>
      <c r="L93" s="26">
        <f>Calculations!N91</f>
        <v>385845.98580000026</v>
      </c>
      <c r="M93" s="26">
        <f>Calculations!O91</f>
        <v>424430.58438000036</v>
      </c>
      <c r="N93" s="25"/>
    </row>
    <row r="94" spans="1:14" x14ac:dyDescent="0.2">
      <c r="A94" s="25"/>
      <c r="B94" s="172" t="s">
        <v>313</v>
      </c>
      <c r="C94" s="26"/>
      <c r="D94" s="173">
        <f>Calculations!F92</f>
        <v>48000</v>
      </c>
      <c r="E94" s="173">
        <f>Calculations!G92</f>
        <v>52800.000000000007</v>
      </c>
      <c r="F94" s="173">
        <f>Calculations!H92</f>
        <v>58080.000000000007</v>
      </c>
      <c r="G94" s="173">
        <f>Calculations!I92</f>
        <v>63888.000000000022</v>
      </c>
      <c r="H94" s="173">
        <f>Calculations!J92</f>
        <v>70276.800000000032</v>
      </c>
      <c r="I94" s="173">
        <f>Calculations!K92</f>
        <v>77304.48000000004</v>
      </c>
      <c r="J94" s="173">
        <f>Calculations!L92</f>
        <v>85034.928000000044</v>
      </c>
      <c r="K94" s="173">
        <f>Calculations!M92</f>
        <v>93538.420800000065</v>
      </c>
      <c r="L94" s="173">
        <f>Calculations!N92</f>
        <v>102892.26288000008</v>
      </c>
      <c r="M94" s="173">
        <f>Calculations!O92</f>
        <v>113181.48916800009</v>
      </c>
      <c r="N94" s="25"/>
    </row>
    <row r="95" spans="1:14" x14ac:dyDescent="0.2">
      <c r="A95" s="25"/>
      <c r="B95" s="28" t="s">
        <v>27</v>
      </c>
      <c r="C95" s="26"/>
      <c r="D95" s="26">
        <f>Calculations!F93</f>
        <v>120000</v>
      </c>
      <c r="E95" s="26">
        <f>Calculations!G93</f>
        <v>132000</v>
      </c>
      <c r="F95" s="26">
        <f>Calculations!H93</f>
        <v>145200.00000000003</v>
      </c>
      <c r="G95" s="26">
        <f>Calculations!I93</f>
        <v>159720.00000000006</v>
      </c>
      <c r="H95" s="26">
        <f>Calculations!J93</f>
        <v>175692.00000000009</v>
      </c>
      <c r="I95" s="26">
        <f>Calculations!K93</f>
        <v>193261.2000000001</v>
      </c>
      <c r="J95" s="26">
        <f>Calculations!L93</f>
        <v>212587.32000000012</v>
      </c>
      <c r="K95" s="26">
        <f>Calculations!M93</f>
        <v>233846.05200000017</v>
      </c>
      <c r="L95" s="26">
        <f>Calculations!N93</f>
        <v>257230.65720000019</v>
      </c>
      <c r="M95" s="26">
        <f>Calculations!O93</f>
        <v>282953.7229200002</v>
      </c>
      <c r="N95" s="25"/>
    </row>
    <row r="96" spans="1:14" x14ac:dyDescent="0.2">
      <c r="A96" s="25"/>
      <c r="B96" s="28" t="s">
        <v>28</v>
      </c>
      <c r="C96" s="26"/>
      <c r="D96" s="26">
        <f>Calculations!F94</f>
        <v>60000</v>
      </c>
      <c r="E96" s="26">
        <f>Calculations!G94</f>
        <v>66000</v>
      </c>
      <c r="F96" s="26">
        <f>Calculations!H94</f>
        <v>72600.000000000015</v>
      </c>
      <c r="G96" s="26">
        <f>Calculations!I94</f>
        <v>79860.000000000029</v>
      </c>
      <c r="H96" s="26">
        <f>Calculations!J94</f>
        <v>87846.000000000044</v>
      </c>
      <c r="I96" s="26">
        <f>Calculations!K94</f>
        <v>96630.600000000049</v>
      </c>
      <c r="J96" s="26">
        <f>Calculations!L94</f>
        <v>106293.66000000006</v>
      </c>
      <c r="K96" s="26">
        <f>Calculations!M94</f>
        <v>116923.02600000009</v>
      </c>
      <c r="L96" s="26">
        <f>Calculations!N94</f>
        <v>128615.3286000001</v>
      </c>
      <c r="M96" s="26">
        <f>Calculations!O94</f>
        <v>141476.8614600001</v>
      </c>
      <c r="N96" s="25"/>
    </row>
    <row r="97" spans="1:14" x14ac:dyDescent="0.2">
      <c r="A97" s="25"/>
      <c r="B97" s="28" t="s">
        <v>251</v>
      </c>
      <c r="C97" s="26"/>
      <c r="D97" s="26">
        <f>Calculations!F95</f>
        <v>490200</v>
      </c>
      <c r="E97" s="26">
        <f>Calculations!G95</f>
        <v>418200</v>
      </c>
      <c r="F97" s="26">
        <f>Calculations!H95</f>
        <v>359025</v>
      </c>
      <c r="G97" s="26">
        <f>Calculations!I95</f>
        <v>310143.75</v>
      </c>
      <c r="H97" s="26">
        <f>Calculations!J95</f>
        <v>269586.9375</v>
      </c>
      <c r="I97" s="26">
        <f>Calculations!K95</f>
        <v>180608.22187499999</v>
      </c>
      <c r="J97" s="26">
        <f>Calculations!L95</f>
        <v>152382.51609374999</v>
      </c>
      <c r="K97" s="26">
        <f>Calculations!M95</f>
        <v>128731.00792968749</v>
      </c>
      <c r="L97" s="26">
        <f>Calculations!N95</f>
        <v>108865.46521523438</v>
      </c>
      <c r="M97" s="26">
        <f>Calculations!O95</f>
        <v>92146.521365449211</v>
      </c>
      <c r="N97" s="25"/>
    </row>
    <row r="98" spans="1:14" x14ac:dyDescent="0.2">
      <c r="A98" s="25"/>
      <c r="B98" s="115" t="s">
        <v>85</v>
      </c>
      <c r="C98" s="115"/>
      <c r="D98" s="115">
        <f t="shared" ref="D98:M98" si="2">SUM(D86:D97)</f>
        <v>2506200</v>
      </c>
      <c r="E98" s="115">
        <f t="shared" si="2"/>
        <v>2635800</v>
      </c>
      <c r="F98" s="115">
        <f t="shared" si="2"/>
        <v>2798385.0000000005</v>
      </c>
      <c r="G98" s="115">
        <f t="shared" si="2"/>
        <v>2993439.7500000005</v>
      </c>
      <c r="H98" s="115">
        <f t="shared" si="2"/>
        <v>3221212.537500001</v>
      </c>
      <c r="I98" s="115">
        <f t="shared" si="2"/>
        <v>3427396.3818750018</v>
      </c>
      <c r="J98" s="115">
        <f t="shared" si="2"/>
        <v>3723849.4920937521</v>
      </c>
      <c r="K98" s="115">
        <f t="shared" si="2"/>
        <v>4057344.68152969</v>
      </c>
      <c r="L98" s="115">
        <f t="shared" si="2"/>
        <v>4430340.5061752377</v>
      </c>
      <c r="M98" s="115">
        <f t="shared" si="2"/>
        <v>4845769.0664214538</v>
      </c>
      <c r="N98" s="25"/>
    </row>
    <row r="99" spans="1:14" ht="13.5" thickBot="1" x14ac:dyDescent="0.25">
      <c r="A99" s="25"/>
      <c r="B99" s="30" t="s">
        <v>86</v>
      </c>
      <c r="C99" s="30"/>
      <c r="D99" s="30">
        <f t="shared" ref="D99:M99" si="3">D83-D98</f>
        <v>431175</v>
      </c>
      <c r="E99" s="30">
        <f t="shared" si="3"/>
        <v>1051709.375</v>
      </c>
      <c r="F99" s="30">
        <f t="shared" si="3"/>
        <v>1682131.5624999995</v>
      </c>
      <c r="G99" s="30">
        <f t="shared" si="3"/>
        <v>2401810.3437500014</v>
      </c>
      <c r="H99" s="30">
        <f t="shared" si="3"/>
        <v>3226912.6281250012</v>
      </c>
      <c r="I99" s="30">
        <f t="shared" si="3"/>
        <v>4230226.369062501</v>
      </c>
      <c r="J99" s="30">
        <f t="shared" si="3"/>
        <v>5320689.1095625041</v>
      </c>
      <c r="K99" s="30">
        <f t="shared" si="3"/>
        <v>6574916.7134796903</v>
      </c>
      <c r="L99" s="30">
        <f t="shared" si="3"/>
        <v>7277673.625443521</v>
      </c>
      <c r="M99" s="30">
        <f t="shared" si="3"/>
        <v>8033046.4783591805</v>
      </c>
      <c r="N99" s="25"/>
    </row>
    <row r="100" spans="1:14" x14ac:dyDescent="0.2">
      <c r="A100" s="25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25"/>
    </row>
    <row r="101" spans="1:14" x14ac:dyDescent="0.2">
      <c r="A101" s="25"/>
      <c r="B101" s="116" t="s">
        <v>329</v>
      </c>
      <c r="C101" s="26"/>
      <c r="D101" s="26">
        <f ca="1">Calculations!F99</f>
        <v>0</v>
      </c>
      <c r="E101" s="26">
        <f ca="1">Calculations!G99</f>
        <v>0</v>
      </c>
      <c r="F101" s="26">
        <f ca="1">Calculations!H99</f>
        <v>0</v>
      </c>
      <c r="G101" s="26">
        <f ca="1">Calculations!I99</f>
        <v>0</v>
      </c>
      <c r="H101" s="26">
        <f ca="1">Calculations!J99</f>
        <v>0</v>
      </c>
      <c r="I101" s="26">
        <f ca="1">Calculations!K99</f>
        <v>0</v>
      </c>
      <c r="J101" s="26">
        <f ca="1">Calculations!L99</f>
        <v>0</v>
      </c>
      <c r="K101" s="26">
        <f ca="1">Calculations!M99</f>
        <v>0</v>
      </c>
      <c r="L101" s="26">
        <f ca="1">Calculations!N99</f>
        <v>0</v>
      </c>
      <c r="M101" s="26">
        <f ca="1">Calculations!O99</f>
        <v>0</v>
      </c>
      <c r="N101" s="25"/>
    </row>
    <row r="102" spans="1:14" ht="13.5" thickBot="1" x14ac:dyDescent="0.25">
      <c r="A102" s="25"/>
      <c r="B102" s="30" t="s">
        <v>87</v>
      </c>
      <c r="C102" s="30"/>
      <c r="D102" s="30">
        <f t="shared" ref="D102:M102" ca="1" si="4">SUM(D99,D101:D101)</f>
        <v>431175</v>
      </c>
      <c r="E102" s="30">
        <f t="shared" ca="1" si="4"/>
        <v>1051709.375</v>
      </c>
      <c r="F102" s="30">
        <f t="shared" ca="1" si="4"/>
        <v>1682131.5624999995</v>
      </c>
      <c r="G102" s="30">
        <f t="shared" ca="1" si="4"/>
        <v>2401810.3437500014</v>
      </c>
      <c r="H102" s="30">
        <f t="shared" ca="1" si="4"/>
        <v>3226912.6281250012</v>
      </c>
      <c r="I102" s="30">
        <f t="shared" ca="1" si="4"/>
        <v>4230226.369062501</v>
      </c>
      <c r="J102" s="30">
        <f t="shared" ca="1" si="4"/>
        <v>5320689.1095625041</v>
      </c>
      <c r="K102" s="30">
        <f t="shared" ca="1" si="4"/>
        <v>6574916.7134796903</v>
      </c>
      <c r="L102" s="30">
        <f t="shared" ca="1" si="4"/>
        <v>7277673.625443521</v>
      </c>
      <c r="M102" s="30">
        <f t="shared" ca="1" si="4"/>
        <v>8033046.4783591805</v>
      </c>
      <c r="N102" s="25"/>
    </row>
    <row r="103" spans="1:14" x14ac:dyDescent="0.2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5"/>
    </row>
    <row r="104" spans="1:14" x14ac:dyDescent="0.2">
      <c r="A104" s="25"/>
      <c r="B104" s="116" t="s">
        <v>259</v>
      </c>
      <c r="C104" s="26"/>
      <c r="D104" s="26">
        <f ca="1">Calculations!F102</f>
        <v>0</v>
      </c>
      <c r="E104" s="26">
        <f ca="1">Calculations!G102</f>
        <v>0</v>
      </c>
      <c r="F104" s="26">
        <f ca="1">Calculations!H102</f>
        <v>0</v>
      </c>
      <c r="G104" s="26">
        <f ca="1">Calculations!I102</f>
        <v>0</v>
      </c>
      <c r="H104" s="26">
        <f ca="1">Calculations!J102</f>
        <v>0</v>
      </c>
      <c r="I104" s="26">
        <f ca="1">Calculations!K102</f>
        <v>0</v>
      </c>
      <c r="J104" s="26">
        <f ca="1">Calculations!L102</f>
        <v>0</v>
      </c>
      <c r="K104" s="26">
        <f ca="1">Calculations!M102</f>
        <v>0</v>
      </c>
      <c r="L104" s="26">
        <f ca="1">Calculations!N102</f>
        <v>0</v>
      </c>
      <c r="M104" s="26">
        <f ca="1">Calculations!O102</f>
        <v>0</v>
      </c>
      <c r="N104" s="25"/>
    </row>
    <row r="105" spans="1:14" x14ac:dyDescent="0.2">
      <c r="A105" s="25"/>
      <c r="B105" s="26" t="s">
        <v>314</v>
      </c>
      <c r="C105" s="26"/>
      <c r="D105" s="26">
        <f>Calculations!F103</f>
        <v>90780</v>
      </c>
      <c r="E105" s="26">
        <f>Calculations!G103</f>
        <v>90780</v>
      </c>
      <c r="F105" s="26">
        <f>Calculations!H103</f>
        <v>46712.038834951454</v>
      </c>
      <c r="G105" s="26">
        <f>Calculations!I103</f>
        <v>0</v>
      </c>
      <c r="H105" s="26">
        <f>Calculations!J103</f>
        <v>0</v>
      </c>
      <c r="I105" s="26">
        <f>Calculations!K103</f>
        <v>0</v>
      </c>
      <c r="J105" s="26">
        <f>Calculations!L103</f>
        <v>0</v>
      </c>
      <c r="K105" s="26">
        <f>Calculations!M103</f>
        <v>0</v>
      </c>
      <c r="L105" s="26">
        <f>Calculations!N103</f>
        <v>0</v>
      </c>
      <c r="M105" s="26">
        <f>Calculations!O103</f>
        <v>0</v>
      </c>
      <c r="N105" s="25"/>
    </row>
    <row r="106" spans="1:14" x14ac:dyDescent="0.2">
      <c r="A106" s="25"/>
      <c r="B106" s="26" t="s">
        <v>315</v>
      </c>
      <c r="C106" s="26"/>
      <c r="D106" s="26">
        <f ca="1">Calculations!F104</f>
        <v>43411.736136586915</v>
      </c>
      <c r="E106" s="26">
        <f ca="1">Calculations!G104</f>
        <v>0</v>
      </c>
      <c r="F106" s="26">
        <f ca="1">Calculations!H104</f>
        <v>0</v>
      </c>
      <c r="G106" s="26">
        <f ca="1">Calculations!I104</f>
        <v>0</v>
      </c>
      <c r="H106" s="26">
        <f ca="1">Calculations!J104</f>
        <v>0</v>
      </c>
      <c r="I106" s="26">
        <f ca="1">Calculations!K104</f>
        <v>0</v>
      </c>
      <c r="J106" s="26">
        <f ca="1">Calculations!L104</f>
        <v>0</v>
      </c>
      <c r="K106" s="26">
        <f ca="1">Calculations!M104</f>
        <v>0</v>
      </c>
      <c r="L106" s="26">
        <f ca="1">Calculations!N104</f>
        <v>0</v>
      </c>
      <c r="M106" s="26">
        <f ca="1">Calculations!O104</f>
        <v>0</v>
      </c>
      <c r="N106" s="25"/>
    </row>
    <row r="107" spans="1:14" x14ac:dyDescent="0.2">
      <c r="A107" s="25"/>
      <c r="B107" s="115" t="s">
        <v>85</v>
      </c>
      <c r="C107" s="115"/>
      <c r="D107" s="115">
        <f ca="1">SUM(D104:D106)</f>
        <v>134191.73613658693</v>
      </c>
      <c r="E107" s="115">
        <f t="shared" ref="E107:M107" ca="1" si="5">SUM(E104:E106)</f>
        <v>90780</v>
      </c>
      <c r="F107" s="115">
        <f t="shared" ca="1" si="5"/>
        <v>46712.038834951454</v>
      </c>
      <c r="G107" s="115">
        <f t="shared" ca="1" si="5"/>
        <v>0</v>
      </c>
      <c r="H107" s="115">
        <f t="shared" ca="1" si="5"/>
        <v>0</v>
      </c>
      <c r="I107" s="115">
        <f t="shared" ca="1" si="5"/>
        <v>0</v>
      </c>
      <c r="J107" s="115">
        <f t="shared" ca="1" si="5"/>
        <v>0</v>
      </c>
      <c r="K107" s="115">
        <f t="shared" ca="1" si="5"/>
        <v>0</v>
      </c>
      <c r="L107" s="115">
        <f t="shared" ca="1" si="5"/>
        <v>0</v>
      </c>
      <c r="M107" s="115">
        <f t="shared" ca="1" si="5"/>
        <v>0</v>
      </c>
      <c r="N107" s="25"/>
    </row>
    <row r="108" spans="1:14" ht="13.5" thickBot="1" x14ac:dyDescent="0.25">
      <c r="A108" s="25"/>
      <c r="B108" s="30" t="s">
        <v>88</v>
      </c>
      <c r="C108" s="30"/>
      <c r="D108" s="30">
        <f t="shared" ref="D108:M108" ca="1" si="6">D102-D107</f>
        <v>296983.26386341307</v>
      </c>
      <c r="E108" s="30">
        <f t="shared" ca="1" si="6"/>
        <v>960929.375</v>
      </c>
      <c r="F108" s="30">
        <f t="shared" ca="1" si="6"/>
        <v>1635419.5236650482</v>
      </c>
      <c r="G108" s="30">
        <f t="shared" ca="1" si="6"/>
        <v>2401810.3437500014</v>
      </c>
      <c r="H108" s="30">
        <f t="shared" ca="1" si="6"/>
        <v>3226912.6281250012</v>
      </c>
      <c r="I108" s="30">
        <f t="shared" ca="1" si="6"/>
        <v>4230226.369062501</v>
      </c>
      <c r="J108" s="30">
        <f t="shared" ca="1" si="6"/>
        <v>5320689.1095625041</v>
      </c>
      <c r="K108" s="30">
        <f t="shared" ca="1" si="6"/>
        <v>6574916.7134796903</v>
      </c>
      <c r="L108" s="30">
        <f t="shared" ca="1" si="6"/>
        <v>7277673.625443521</v>
      </c>
      <c r="M108" s="30">
        <f t="shared" ca="1" si="6"/>
        <v>8033046.4783591805</v>
      </c>
      <c r="N108" s="25"/>
    </row>
    <row r="109" spans="1:14" x14ac:dyDescent="0.2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5"/>
    </row>
    <row r="110" spans="1:14" x14ac:dyDescent="0.2">
      <c r="A110" s="25"/>
      <c r="B110" s="26" t="s">
        <v>89</v>
      </c>
      <c r="C110" s="26"/>
      <c r="D110" s="26">
        <f ca="1">Calculations!F108</f>
        <v>0</v>
      </c>
      <c r="E110" s="26">
        <f ca="1">Calculations!G108</f>
        <v>30116.046875</v>
      </c>
      <c r="F110" s="26">
        <f ca="1">Calculations!H108</f>
        <v>136198.24164138344</v>
      </c>
      <c r="G110" s="26">
        <f ca="1">Calculations!I108</f>
        <v>270407.1023437503</v>
      </c>
      <c r="H110" s="26">
        <f ca="1">Calculations!J108</f>
        <v>467400.69773437537</v>
      </c>
      <c r="I110" s="26">
        <f ca="1">Calculations!K108</f>
        <v>754823.24494531285</v>
      </c>
      <c r="J110" s="26">
        <f ca="1">Calculations!L108</f>
        <v>1109223.635607814</v>
      </c>
      <c r="K110" s="26">
        <f ca="1">Calculations!M108</f>
        <v>1531220.1497178916</v>
      </c>
      <c r="L110" s="26">
        <f ca="1">Calculations!N108</f>
        <v>1777185.0689052322</v>
      </c>
      <c r="M110" s="26">
        <f ca="1">Calculations!O108</f>
        <v>2041565.5674257132</v>
      </c>
      <c r="N110" s="25"/>
    </row>
    <row r="111" spans="1:14" ht="13.5" thickBot="1" x14ac:dyDescent="0.25">
      <c r="A111" s="25"/>
      <c r="B111" s="29" t="s">
        <v>90</v>
      </c>
      <c r="C111" s="29"/>
      <c r="D111" s="29">
        <f t="shared" ref="D111:M111" ca="1" si="7">D108-D110</f>
        <v>296983.26386341307</v>
      </c>
      <c r="E111" s="29">
        <f t="shared" ca="1" si="7"/>
        <v>930813.328125</v>
      </c>
      <c r="F111" s="29">
        <f t="shared" ca="1" si="7"/>
        <v>1499221.2820236648</v>
      </c>
      <c r="G111" s="29">
        <f t="shared" ca="1" si="7"/>
        <v>2131403.2414062512</v>
      </c>
      <c r="H111" s="29">
        <f t="shared" ca="1" si="7"/>
        <v>2759511.9303906257</v>
      </c>
      <c r="I111" s="29">
        <f t="shared" ca="1" si="7"/>
        <v>3475403.1241171882</v>
      </c>
      <c r="J111" s="29">
        <f t="shared" ca="1" si="7"/>
        <v>4211465.4739546906</v>
      </c>
      <c r="K111" s="29">
        <f t="shared" ca="1" si="7"/>
        <v>5043696.5637617987</v>
      </c>
      <c r="L111" s="29">
        <f t="shared" ca="1" si="7"/>
        <v>5500488.5565382885</v>
      </c>
      <c r="M111" s="29">
        <f t="shared" ca="1" si="7"/>
        <v>5991480.9109334676</v>
      </c>
      <c r="N111" s="25"/>
    </row>
    <row r="112" spans="1:14" x14ac:dyDescent="0.2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5"/>
    </row>
    <row r="113" spans="1:14" ht="5.0999999999999996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ht="5.0999999999999996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ht="18.75" x14ac:dyDescent="0.3">
      <c r="A115" s="25"/>
      <c r="B115" s="31" t="s">
        <v>354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2" t="s">
        <v>6</v>
      </c>
      <c r="N115" s="25"/>
    </row>
    <row r="116" spans="1:14" ht="18.75" x14ac:dyDescent="0.3">
      <c r="A116" s="25"/>
      <c r="B116" s="33" t="str">
        <f>'Input Sheet'!B2</f>
        <v>Name of Project: ABC Private Limited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25"/>
    </row>
    <row r="117" spans="1:14" x14ac:dyDescent="0.2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5"/>
    </row>
    <row r="118" spans="1:14" s="171" customFormat="1" x14ac:dyDescent="0.2">
      <c r="A118" s="170"/>
      <c r="B118" s="35"/>
      <c r="C118" s="36" t="s">
        <v>37</v>
      </c>
      <c r="D118" s="36" t="s">
        <v>38</v>
      </c>
      <c r="E118" s="36" t="s">
        <v>39</v>
      </c>
      <c r="F118" s="36" t="s">
        <v>40</v>
      </c>
      <c r="G118" s="36" t="s">
        <v>41</v>
      </c>
      <c r="H118" s="36" t="s">
        <v>42</v>
      </c>
      <c r="I118" s="36" t="s">
        <v>43</v>
      </c>
      <c r="J118" s="36" t="s">
        <v>44</v>
      </c>
      <c r="K118" s="36" t="s">
        <v>45</v>
      </c>
      <c r="L118" s="36" t="s">
        <v>46</v>
      </c>
      <c r="M118" s="36" t="s">
        <v>47</v>
      </c>
      <c r="N118" s="170"/>
    </row>
    <row r="119" spans="1:14" ht="14.25" x14ac:dyDescent="0.2">
      <c r="A119" s="25"/>
      <c r="B119" s="45" t="s">
        <v>92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5"/>
    </row>
    <row r="120" spans="1:14" ht="15" x14ac:dyDescent="0.25">
      <c r="A120" s="25"/>
      <c r="B120" s="41" t="s">
        <v>93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5"/>
    </row>
    <row r="121" spans="1:14" x14ac:dyDescent="0.2">
      <c r="A121" s="25"/>
      <c r="B121" s="28" t="s">
        <v>94</v>
      </c>
      <c r="C121" s="26">
        <f ca="1">Calculations!E122</f>
        <v>259856.26854301989</v>
      </c>
      <c r="D121" s="26">
        <f ca="1">Calculations!F122</f>
        <v>394854.71531457518</v>
      </c>
      <c r="E121" s="26">
        <f ca="1">Calculations!G122</f>
        <v>664136.65550098405</v>
      </c>
      <c r="F121" s="26">
        <f ca="1">Calculations!H122</f>
        <v>1140325.7370727947</v>
      </c>
      <c r="G121" s="26">
        <f ca="1">Calculations!I122</f>
        <v>2285430.1239179438</v>
      </c>
      <c r="H121" s="26">
        <f ca="1">Calculations!J122</f>
        <v>3708167.8899228033</v>
      </c>
      <c r="I121" s="26">
        <f ca="1">Calculations!K122</f>
        <v>5424666.4062026422</v>
      </c>
      <c r="J121" s="26">
        <f ca="1">Calculations!L122</f>
        <v>7471028.0235821214</v>
      </c>
      <c r="K121" s="26">
        <f ca="1">Calculations!M122</f>
        <v>9917658.2453765739</v>
      </c>
      <c r="L121" s="26">
        <f ca="1">Calculations!N122</f>
        <v>12565281.993757833</v>
      </c>
      <c r="M121" s="26">
        <f ca="1">Calculations!O122</f>
        <v>16212529.03940881</v>
      </c>
      <c r="N121" s="25"/>
    </row>
    <row r="122" spans="1:14" x14ac:dyDescent="0.2">
      <c r="A122" s="25"/>
      <c r="B122" s="28" t="s">
        <v>95</v>
      </c>
      <c r="C122" s="26">
        <f>Calculations!E123</f>
        <v>0</v>
      </c>
      <c r="D122" s="26">
        <f>Calculations!F123</f>
        <v>320054.7945205479</v>
      </c>
      <c r="E122" s="26">
        <f>Calculations!G123</f>
        <v>353710.27397260274</v>
      </c>
      <c r="F122" s="26">
        <f>Calculations!H123</f>
        <v>423143.63013698626</v>
      </c>
      <c r="G122" s="26">
        <f>Calculations!I123</f>
        <v>499918.13013698632</v>
      </c>
      <c r="H122" s="26">
        <f>Calculations!J123</f>
        <v>587816.0938356166</v>
      </c>
      <c r="I122" s="26">
        <f>Calculations!K123</f>
        <v>688294.46897260298</v>
      </c>
      <c r="J122" s="26">
        <f>Calculations!L123</f>
        <v>802990.35819863051</v>
      </c>
      <c r="K122" s="26">
        <f>Calculations!M123</f>
        <v>933742.48058013746</v>
      </c>
      <c r="L122" s="26">
        <f>Calculations!N123</f>
        <v>1054029.0456842473</v>
      </c>
      <c r="M122" s="26">
        <f>Calculations!O123</f>
        <v>1159916.4600521927</v>
      </c>
      <c r="N122" s="25"/>
    </row>
    <row r="123" spans="1:14" x14ac:dyDescent="0.2">
      <c r="A123" s="25"/>
      <c r="B123" s="28" t="s">
        <v>21</v>
      </c>
      <c r="C123" s="26">
        <f>Calculations!E124</f>
        <v>0</v>
      </c>
      <c r="D123" s="26">
        <f>Calculations!F124</f>
        <v>82213.983050847455</v>
      </c>
      <c r="E123" s="26">
        <f>Calculations!G124</f>
        <v>95762.616335044935</v>
      </c>
      <c r="F123" s="26">
        <f>Calculations!H124</f>
        <v>111575.71886174016</v>
      </c>
      <c r="G123" s="26">
        <f>Calculations!I124</f>
        <v>129594.14192853174</v>
      </c>
      <c r="H123" s="26">
        <f>Calculations!J124</f>
        <v>150100.78388946826</v>
      </c>
      <c r="I123" s="26">
        <f>Calculations!K124</f>
        <v>173413.07680477193</v>
      </c>
      <c r="J123" s="26">
        <f>Calculations!L124</f>
        <v>199887.06240239818</v>
      </c>
      <c r="K123" s="26">
        <f>Calculations!M124</f>
        <v>229921.93842574375</v>
      </c>
      <c r="L123" s="26">
        <f>Calculations!N124</f>
        <v>252876.49242968767</v>
      </c>
      <c r="M123" s="26">
        <f>Calculations!O124</f>
        <v>278164.14167265652</v>
      </c>
      <c r="N123" s="25"/>
    </row>
    <row r="124" spans="1:14" x14ac:dyDescent="0.2">
      <c r="A124" s="25"/>
      <c r="B124" s="28" t="s">
        <v>18</v>
      </c>
      <c r="C124" s="26">
        <f>Calculations!E125</f>
        <v>0</v>
      </c>
      <c r="D124" s="26">
        <f>Calculations!F125</f>
        <v>0</v>
      </c>
      <c r="E124" s="26">
        <f>Calculations!G125</f>
        <v>0</v>
      </c>
      <c r="F124" s="26">
        <f>Calculations!H125</f>
        <v>0</v>
      </c>
      <c r="G124" s="26">
        <f>Calculations!I125</f>
        <v>0</v>
      </c>
      <c r="H124" s="26">
        <f>Calculations!J125</f>
        <v>0</v>
      </c>
      <c r="I124" s="26">
        <f>Calculations!K125</f>
        <v>0</v>
      </c>
      <c r="J124" s="26">
        <f>Calculations!L125</f>
        <v>0</v>
      </c>
      <c r="K124" s="26">
        <f>Calculations!M125</f>
        <v>0</v>
      </c>
      <c r="L124" s="26">
        <f>Calculations!N125</f>
        <v>0</v>
      </c>
      <c r="M124" s="26">
        <f>Calculations!O125</f>
        <v>0</v>
      </c>
      <c r="N124" s="25"/>
    </row>
    <row r="125" spans="1:14" x14ac:dyDescent="0.2">
      <c r="A125" s="25"/>
      <c r="B125" s="28" t="s">
        <v>20</v>
      </c>
      <c r="C125" s="26">
        <f>Calculations!E126</f>
        <v>152109.375</v>
      </c>
      <c r="D125" s="26">
        <f>Calculations!F126</f>
        <v>184099.609375</v>
      </c>
      <c r="E125" s="26">
        <f>Calculations!G126</f>
        <v>239917.94921875003</v>
      </c>
      <c r="F125" s="26">
        <f>Calculations!H126</f>
        <v>311061.19902343763</v>
      </c>
      <c r="G125" s="26">
        <f>Calculations!I126</f>
        <v>401504.23218554712</v>
      </c>
      <c r="H125" s="26">
        <f>Calculations!J126</f>
        <v>516215.54039880907</v>
      </c>
      <c r="I125" s="26">
        <f>Calculations!K126</f>
        <v>661399.2614222581</v>
      </c>
      <c r="J125" s="26">
        <f>Calculations!L126</f>
        <v>844795.03994396899</v>
      </c>
      <c r="K125" s="26">
        <f>Calculations!M126</f>
        <v>1023099.4539936003</v>
      </c>
      <c r="L125" s="26">
        <f>Calculations!N126</f>
        <v>1237950.3393322567</v>
      </c>
      <c r="M125" s="26">
        <f>Calculations!O126</f>
        <v>0</v>
      </c>
      <c r="N125" s="25"/>
    </row>
    <row r="126" spans="1:14" x14ac:dyDescent="0.2">
      <c r="A126" s="25"/>
      <c r="B126" s="28" t="s">
        <v>96</v>
      </c>
      <c r="C126" s="26">
        <f>Calculations!E127</f>
        <v>45000</v>
      </c>
      <c r="D126" s="26">
        <f>Calculations!F127</f>
        <v>49500.000000000007</v>
      </c>
      <c r="E126" s="26">
        <f>Calculations!G127</f>
        <v>54450.000000000007</v>
      </c>
      <c r="F126" s="26">
        <f>Calculations!H127</f>
        <v>59895.000000000022</v>
      </c>
      <c r="G126" s="26">
        <f>Calculations!I127</f>
        <v>65884.500000000029</v>
      </c>
      <c r="H126" s="26">
        <f>Calculations!J127</f>
        <v>72472.950000000041</v>
      </c>
      <c r="I126" s="26">
        <f>Calculations!K127</f>
        <v>79720.245000000054</v>
      </c>
      <c r="J126" s="26">
        <f>Calculations!L127</f>
        <v>87692.269500000068</v>
      </c>
      <c r="K126" s="26">
        <f>Calculations!M127</f>
        <v>96461.496450000064</v>
      </c>
      <c r="L126" s="26">
        <f>Calculations!N127</f>
        <v>106107.64609500009</v>
      </c>
      <c r="M126" s="26">
        <f>Calculations!O127</f>
        <v>0</v>
      </c>
      <c r="N126" s="25"/>
    </row>
    <row r="127" spans="1:14" x14ac:dyDescent="0.2">
      <c r="A127" s="25"/>
      <c r="B127" s="115" t="s">
        <v>97</v>
      </c>
      <c r="C127" s="115">
        <f t="shared" ref="C127:M127" ca="1" si="8">SUM(C121:C126)</f>
        <v>456965.64354301989</v>
      </c>
      <c r="D127" s="115">
        <f t="shared" ca="1" si="8"/>
        <v>1030723.1022609705</v>
      </c>
      <c r="E127" s="115">
        <f t="shared" ca="1" si="8"/>
        <v>1407977.4950273817</v>
      </c>
      <c r="F127" s="115">
        <f t="shared" ca="1" si="8"/>
        <v>2046001.2850949587</v>
      </c>
      <c r="G127" s="115">
        <f t="shared" ca="1" si="8"/>
        <v>3382331.128169009</v>
      </c>
      <c r="H127" s="115">
        <f t="shared" ca="1" si="8"/>
        <v>5034773.2580466969</v>
      </c>
      <c r="I127" s="115">
        <f t="shared" ca="1" si="8"/>
        <v>7027493.4584022751</v>
      </c>
      <c r="J127" s="115">
        <f t="shared" ca="1" si="8"/>
        <v>9406392.7536271196</v>
      </c>
      <c r="K127" s="115">
        <f t="shared" ca="1" si="8"/>
        <v>12200883.614826055</v>
      </c>
      <c r="L127" s="115">
        <f t="shared" ca="1" si="8"/>
        <v>15216245.517299026</v>
      </c>
      <c r="M127" s="115">
        <f t="shared" ca="1" si="8"/>
        <v>17650609.641133659</v>
      </c>
      <c r="N127" s="25"/>
    </row>
    <row r="128" spans="1:14" x14ac:dyDescent="0.2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5"/>
    </row>
    <row r="129" spans="1:18" ht="15" x14ac:dyDescent="0.25">
      <c r="A129" s="25"/>
      <c r="B129" s="41" t="s">
        <v>98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5"/>
    </row>
    <row r="130" spans="1:18" x14ac:dyDescent="0.2">
      <c r="A130" s="25"/>
      <c r="B130" s="28" t="s">
        <v>29</v>
      </c>
      <c r="C130" s="26">
        <f>Calculations!E131</f>
        <v>0</v>
      </c>
      <c r="D130" s="26">
        <f>Calculations!F131</f>
        <v>0</v>
      </c>
      <c r="E130" s="26">
        <f>Calculations!G131</f>
        <v>0</v>
      </c>
      <c r="F130" s="26">
        <f>Calculations!H131</f>
        <v>0</v>
      </c>
      <c r="G130" s="26">
        <f>Calculations!I131</f>
        <v>0</v>
      </c>
      <c r="H130" s="26">
        <f>Calculations!J131</f>
        <v>0</v>
      </c>
      <c r="I130" s="26">
        <f>Calculations!K131</f>
        <v>0</v>
      </c>
      <c r="J130" s="26">
        <f>Calculations!L131</f>
        <v>0</v>
      </c>
      <c r="K130" s="26">
        <f>Calculations!M131</f>
        <v>0</v>
      </c>
      <c r="L130" s="26">
        <f>Calculations!N131</f>
        <v>0</v>
      </c>
      <c r="M130" s="26">
        <f>Calculations!O131</f>
        <v>0</v>
      </c>
      <c r="N130" s="25"/>
    </row>
    <row r="131" spans="1:18" x14ac:dyDescent="0.2">
      <c r="A131" s="25"/>
      <c r="B131" s="28" t="s">
        <v>56</v>
      </c>
      <c r="C131" s="26">
        <f>Calculations!E132</f>
        <v>0</v>
      </c>
      <c r="D131" s="26">
        <f>Calculations!F132</f>
        <v>0</v>
      </c>
      <c r="E131" s="26">
        <f>Calculations!G132</f>
        <v>0</v>
      </c>
      <c r="F131" s="26">
        <f>Calculations!H132</f>
        <v>0</v>
      </c>
      <c r="G131" s="26">
        <f>Calculations!I132</f>
        <v>0</v>
      </c>
      <c r="H131" s="26">
        <f>Calculations!J132</f>
        <v>0</v>
      </c>
      <c r="I131" s="26">
        <f>Calculations!K132</f>
        <v>0</v>
      </c>
      <c r="J131" s="26">
        <f>Calculations!L132</f>
        <v>0</v>
      </c>
      <c r="K131" s="26">
        <f>Calculations!M132</f>
        <v>0</v>
      </c>
      <c r="L131" s="26">
        <f>Calculations!N132</f>
        <v>0</v>
      </c>
      <c r="M131" s="26">
        <f>Calculations!O132</f>
        <v>0</v>
      </c>
      <c r="N131" s="25"/>
    </row>
    <row r="132" spans="1:18" x14ac:dyDescent="0.2">
      <c r="A132" s="25"/>
      <c r="B132" s="28" t="s">
        <v>14</v>
      </c>
      <c r="C132" s="26">
        <f>Calculations!E133</f>
        <v>900000</v>
      </c>
      <c r="D132" s="26">
        <f>Calculations!F133</f>
        <v>765000</v>
      </c>
      <c r="E132" s="26">
        <f>Calculations!G133</f>
        <v>650250</v>
      </c>
      <c r="F132" s="26">
        <f>Calculations!H133</f>
        <v>552712.5</v>
      </c>
      <c r="G132" s="26">
        <f>Calculations!I133</f>
        <v>469805.625</v>
      </c>
      <c r="H132" s="26">
        <f>Calculations!J133</f>
        <v>399334.78125</v>
      </c>
      <c r="I132" s="26">
        <f>Calculations!K133</f>
        <v>339434.56406250002</v>
      </c>
      <c r="J132" s="26">
        <f>Calculations!L133</f>
        <v>288519.379453125</v>
      </c>
      <c r="K132" s="26">
        <f>Calculations!M133</f>
        <v>245241.47253515624</v>
      </c>
      <c r="L132" s="26">
        <f>Calculations!N133</f>
        <v>208455.2516548828</v>
      </c>
      <c r="M132" s="26">
        <f>Calculations!O133</f>
        <v>177186.96390665037</v>
      </c>
      <c r="N132" s="25"/>
    </row>
    <row r="133" spans="1:18" x14ac:dyDescent="0.2">
      <c r="A133" s="25"/>
      <c r="B133" s="28" t="s">
        <v>16</v>
      </c>
      <c r="C133" s="26">
        <f>Calculations!E134</f>
        <v>200000</v>
      </c>
      <c r="D133" s="26">
        <f>Calculations!F134</f>
        <v>170000</v>
      </c>
      <c r="E133" s="26">
        <f>Calculations!G134</f>
        <v>144500</v>
      </c>
      <c r="F133" s="26">
        <f>Calculations!H134</f>
        <v>122825</v>
      </c>
      <c r="G133" s="26">
        <f>Calculations!I134</f>
        <v>104401.25</v>
      </c>
      <c r="H133" s="26">
        <f>Calculations!J134</f>
        <v>88741.0625</v>
      </c>
      <c r="I133" s="26">
        <f>Calculations!K134</f>
        <v>75429.903124999997</v>
      </c>
      <c r="J133" s="26">
        <f>Calculations!L134</f>
        <v>64115.41765625</v>
      </c>
      <c r="K133" s="26">
        <f>Calculations!M134</f>
        <v>54498.105007812497</v>
      </c>
      <c r="L133" s="26">
        <f>Calculations!N134</f>
        <v>46323.389256640621</v>
      </c>
      <c r="M133" s="26">
        <f>Calculations!O134</f>
        <v>39374.88086814453</v>
      </c>
      <c r="N133" s="25"/>
    </row>
    <row r="134" spans="1:18" x14ac:dyDescent="0.2">
      <c r="A134" s="25"/>
      <c r="B134" s="28" t="s">
        <v>17</v>
      </c>
      <c r="C134" s="26">
        <f>Calculations!E135</f>
        <v>1500000</v>
      </c>
      <c r="D134" s="26">
        <f>Calculations!F135</f>
        <v>1275000</v>
      </c>
      <c r="E134" s="26">
        <f>Calculations!G135</f>
        <v>1083750</v>
      </c>
      <c r="F134" s="26">
        <f>Calculations!H135</f>
        <v>921187.5</v>
      </c>
      <c r="G134" s="26">
        <f>Calculations!I135</f>
        <v>783009.375</v>
      </c>
      <c r="H134" s="26">
        <f>Calculations!J135</f>
        <v>665557.96875</v>
      </c>
      <c r="I134" s="26">
        <f>Calculations!K135</f>
        <v>565724.2734375</v>
      </c>
      <c r="J134" s="26">
        <f>Calculations!L135</f>
        <v>480865.63242187502</v>
      </c>
      <c r="K134" s="26">
        <f>Calculations!M135</f>
        <v>408735.78755859379</v>
      </c>
      <c r="L134" s="26">
        <f>Calculations!N135</f>
        <v>347425.41942480474</v>
      </c>
      <c r="M134" s="26">
        <f>Calculations!O135</f>
        <v>295311.60651108401</v>
      </c>
      <c r="N134" s="25"/>
    </row>
    <row r="135" spans="1:18" x14ac:dyDescent="0.2">
      <c r="A135" s="25"/>
      <c r="B135" s="28" t="s">
        <v>15</v>
      </c>
      <c r="C135" s="26">
        <f>Calculations!E136</f>
        <v>150000</v>
      </c>
      <c r="D135" s="26">
        <f>Calculations!F136</f>
        <v>105000</v>
      </c>
      <c r="E135" s="26">
        <f>Calculations!G136</f>
        <v>73500</v>
      </c>
      <c r="F135" s="26">
        <f>Calculations!H136</f>
        <v>51450</v>
      </c>
      <c r="G135" s="26">
        <f>Calculations!I136</f>
        <v>36015</v>
      </c>
      <c r="H135" s="26">
        <f>Calculations!J136</f>
        <v>25210.5</v>
      </c>
      <c r="I135" s="26">
        <f>Calculations!K136</f>
        <v>17647.349999999999</v>
      </c>
      <c r="J135" s="26">
        <f>Calculations!L136</f>
        <v>12353.145</v>
      </c>
      <c r="K135" s="26">
        <f>Calculations!M136</f>
        <v>8647.201500000001</v>
      </c>
      <c r="L135" s="26">
        <f>Calculations!N136</f>
        <v>6053.0410500000007</v>
      </c>
      <c r="M135" s="26">
        <f>Calculations!O136</f>
        <v>4237.1287350000002</v>
      </c>
      <c r="N135" s="25"/>
    </row>
    <row r="136" spans="1:18" x14ac:dyDescent="0.2">
      <c r="A136" s="25"/>
      <c r="B136" s="115" t="s">
        <v>99</v>
      </c>
      <c r="C136" s="115">
        <f t="shared" ref="C136:M136" si="9">SUM(C130:C135)</f>
        <v>2750000</v>
      </c>
      <c r="D136" s="115">
        <f t="shared" si="9"/>
        <v>2315000</v>
      </c>
      <c r="E136" s="115">
        <f t="shared" si="9"/>
        <v>1952000</v>
      </c>
      <c r="F136" s="115">
        <f t="shared" si="9"/>
        <v>1648175</v>
      </c>
      <c r="G136" s="115">
        <f t="shared" si="9"/>
        <v>1393231.25</v>
      </c>
      <c r="H136" s="115">
        <f t="shared" si="9"/>
        <v>1178844.3125</v>
      </c>
      <c r="I136" s="115">
        <f t="shared" si="9"/>
        <v>998236.09062500007</v>
      </c>
      <c r="J136" s="115">
        <f t="shared" si="9"/>
        <v>845853.57453125005</v>
      </c>
      <c r="K136" s="115">
        <f t="shared" si="9"/>
        <v>717122.56660156255</v>
      </c>
      <c r="L136" s="115">
        <f t="shared" si="9"/>
        <v>608257.10138632811</v>
      </c>
      <c r="M136" s="115">
        <f t="shared" si="9"/>
        <v>516110.58002087887</v>
      </c>
      <c r="N136" s="25"/>
    </row>
    <row r="137" spans="1:18" x14ac:dyDescent="0.2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5"/>
    </row>
    <row r="138" spans="1:18" x14ac:dyDescent="0.2">
      <c r="A138" s="25"/>
      <c r="B138" s="27" t="s">
        <v>100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5"/>
    </row>
    <row r="139" spans="1:18" x14ac:dyDescent="0.2">
      <c r="A139" s="25"/>
      <c r="B139" s="28" t="s">
        <v>101</v>
      </c>
      <c r="C139" s="26">
        <f>Calculations!E140</f>
        <v>250000</v>
      </c>
      <c r="D139" s="26">
        <f>Calculations!F140</f>
        <v>200000</v>
      </c>
      <c r="E139" s="26">
        <f>Calculations!G140</f>
        <v>150000</v>
      </c>
      <c r="F139" s="26">
        <f>Calculations!H140</f>
        <v>100000</v>
      </c>
      <c r="G139" s="26">
        <f>Calculations!I140</f>
        <v>50000</v>
      </c>
      <c r="H139" s="26">
        <f>Calculations!J140</f>
        <v>0</v>
      </c>
      <c r="I139" s="26">
        <f>Calculations!K140</f>
        <v>0</v>
      </c>
      <c r="J139" s="26">
        <f>Calculations!L140</f>
        <v>0</v>
      </c>
      <c r="K139" s="26">
        <f>Calculations!M140</f>
        <v>0</v>
      </c>
      <c r="L139" s="26">
        <f>Calculations!N140</f>
        <v>0</v>
      </c>
      <c r="M139" s="26">
        <f>Calculations!O140</f>
        <v>0</v>
      </c>
      <c r="N139" s="25"/>
    </row>
    <row r="140" spans="1:18" x14ac:dyDescent="0.2">
      <c r="A140" s="25"/>
      <c r="B140" s="28" t="s">
        <v>250</v>
      </c>
      <c r="C140" s="26">
        <f>Calculations!E141</f>
        <v>26000</v>
      </c>
      <c r="D140" s="26">
        <f>Calculations!F141</f>
        <v>20800</v>
      </c>
      <c r="E140" s="26">
        <f>Calculations!G141</f>
        <v>15600</v>
      </c>
      <c r="F140" s="26">
        <f>Calculations!H141</f>
        <v>10400</v>
      </c>
      <c r="G140" s="26">
        <f>Calculations!I141</f>
        <v>5200</v>
      </c>
      <c r="H140" s="26">
        <f>Calculations!J141</f>
        <v>0</v>
      </c>
      <c r="I140" s="26">
        <f>Calculations!K141</f>
        <v>0</v>
      </c>
      <c r="J140" s="26">
        <f>Calculations!L141</f>
        <v>0</v>
      </c>
      <c r="K140" s="26">
        <f>Calculations!M141</f>
        <v>0</v>
      </c>
      <c r="L140" s="26">
        <f>Calculations!N141</f>
        <v>0</v>
      </c>
      <c r="M140" s="26">
        <f>Calculations!O141</f>
        <v>0</v>
      </c>
      <c r="N140" s="25"/>
    </row>
    <row r="141" spans="1:18" x14ac:dyDescent="0.2">
      <c r="A141" s="25"/>
      <c r="B141" s="115" t="s">
        <v>103</v>
      </c>
      <c r="C141" s="115">
        <f>SUM(C139:C140)</f>
        <v>276000</v>
      </c>
      <c r="D141" s="115">
        <f t="shared" ref="D141:M141" si="10">SUM(D139:D140)</f>
        <v>220800</v>
      </c>
      <c r="E141" s="115">
        <f t="shared" si="10"/>
        <v>165600</v>
      </c>
      <c r="F141" s="115">
        <f t="shared" si="10"/>
        <v>110400</v>
      </c>
      <c r="G141" s="115">
        <f t="shared" si="10"/>
        <v>55200</v>
      </c>
      <c r="H141" s="115">
        <f t="shared" si="10"/>
        <v>0</v>
      </c>
      <c r="I141" s="115">
        <f t="shared" si="10"/>
        <v>0</v>
      </c>
      <c r="J141" s="115">
        <f t="shared" si="10"/>
        <v>0</v>
      </c>
      <c r="K141" s="115">
        <f t="shared" si="10"/>
        <v>0</v>
      </c>
      <c r="L141" s="115">
        <f t="shared" si="10"/>
        <v>0</v>
      </c>
      <c r="M141" s="115">
        <f t="shared" si="10"/>
        <v>0</v>
      </c>
      <c r="N141" s="25"/>
    </row>
    <row r="142" spans="1:18" s="175" customFormat="1" ht="15.75" thickBot="1" x14ac:dyDescent="0.3">
      <c r="A142" s="174"/>
      <c r="B142" s="43" t="s">
        <v>3</v>
      </c>
      <c r="C142" s="43">
        <f ca="1">ROUND(SUM(C127,C136,C141),0)</f>
        <v>3482966</v>
      </c>
      <c r="D142" s="43">
        <f t="shared" ref="D142:M142" ca="1" si="11">ROUND(SUM(D127,D136,D141),0)</f>
        <v>3566523</v>
      </c>
      <c r="E142" s="43">
        <f t="shared" ca="1" si="11"/>
        <v>3525577</v>
      </c>
      <c r="F142" s="43">
        <f t="shared" ca="1" si="11"/>
        <v>3804576</v>
      </c>
      <c r="G142" s="43">
        <f t="shared" ca="1" si="11"/>
        <v>4830762</v>
      </c>
      <c r="H142" s="43">
        <f t="shared" ca="1" si="11"/>
        <v>6213618</v>
      </c>
      <c r="I142" s="43">
        <f t="shared" ca="1" si="11"/>
        <v>8025730</v>
      </c>
      <c r="J142" s="43">
        <f t="shared" ca="1" si="11"/>
        <v>10252246</v>
      </c>
      <c r="K142" s="43">
        <f t="shared" ca="1" si="11"/>
        <v>12918006</v>
      </c>
      <c r="L142" s="43">
        <f t="shared" ca="1" si="11"/>
        <v>15824503</v>
      </c>
      <c r="M142" s="43">
        <f t="shared" ca="1" si="11"/>
        <v>18166720</v>
      </c>
      <c r="N142" s="174"/>
      <c r="Q142" s="320" t="s">
        <v>241</v>
      </c>
      <c r="R142" s="321">
        <f ca="1">C142</f>
        <v>3482966</v>
      </c>
    </row>
    <row r="143" spans="1:18" x14ac:dyDescent="0.2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5"/>
      <c r="Q143" s="322" t="s">
        <v>242</v>
      </c>
      <c r="R143" s="323">
        <f ca="1">C148+C153</f>
        <v>1741482.8217708922</v>
      </c>
    </row>
    <row r="144" spans="1:18" ht="14.25" x14ac:dyDescent="0.2">
      <c r="A144" s="25"/>
      <c r="B144" s="45" t="s">
        <v>104</v>
      </c>
      <c r="C144" s="26"/>
      <c r="D144" s="114"/>
      <c r="E144" s="26"/>
      <c r="F144" s="26"/>
      <c r="G144" s="26"/>
      <c r="H144" s="26"/>
      <c r="I144" s="26"/>
      <c r="J144" s="26"/>
      <c r="K144" s="26"/>
      <c r="L144" s="26"/>
      <c r="M144" s="26"/>
      <c r="N144" s="25"/>
      <c r="Q144" s="322" t="s">
        <v>113</v>
      </c>
      <c r="R144" s="323">
        <f ca="1">C158</f>
        <v>1741482.8217715099</v>
      </c>
    </row>
    <row r="145" spans="1:14" ht="15" x14ac:dyDescent="0.25">
      <c r="A145" s="25"/>
      <c r="B145" s="41" t="s">
        <v>105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5"/>
    </row>
    <row r="146" spans="1:14" x14ac:dyDescent="0.2">
      <c r="A146" s="25"/>
      <c r="B146" s="28" t="s">
        <v>106</v>
      </c>
      <c r="C146" s="26">
        <f>Calculations!E147</f>
        <v>0</v>
      </c>
      <c r="D146" s="26">
        <f>Calculations!F147</f>
        <v>150055.46339897258</v>
      </c>
      <c r="E146" s="26">
        <f>Calculations!G147</f>
        <v>182044.48763912669</v>
      </c>
      <c r="F146" s="26">
        <f>Calculations!H147</f>
        <v>216545.05783657962</v>
      </c>
      <c r="G146" s="26">
        <f>Calculations!I147</f>
        <v>256432.29635694035</v>
      </c>
      <c r="H146" s="26">
        <f>Calculations!J147</f>
        <v>302513.32434858131</v>
      </c>
      <c r="I146" s="26">
        <f>Calculations!K147</f>
        <v>355720.69498139428</v>
      </c>
      <c r="J146" s="26">
        <f>Calculations!L147</f>
        <v>417133.61753964954</v>
      </c>
      <c r="K146" s="26">
        <f>Calculations!M147</f>
        <v>485827.12885581603</v>
      </c>
      <c r="L146" s="26">
        <f>Calculations!N147</f>
        <v>539458.75795046974</v>
      </c>
      <c r="M146" s="26">
        <f>Calculations!O147</f>
        <v>537442.4951181683</v>
      </c>
      <c r="N146" s="25"/>
    </row>
    <row r="147" spans="1:14" x14ac:dyDescent="0.2">
      <c r="A147" s="25"/>
      <c r="B147" s="28" t="s">
        <v>260</v>
      </c>
      <c r="C147" s="26">
        <f ca="1">Calculations!E148</f>
        <v>0</v>
      </c>
      <c r="D147" s="26">
        <f ca="1">Calculations!F148</f>
        <v>0</v>
      </c>
      <c r="E147" s="26">
        <f ca="1">Calculations!G148</f>
        <v>0</v>
      </c>
      <c r="F147" s="26">
        <f ca="1">Calculations!H148</f>
        <v>0</v>
      </c>
      <c r="G147" s="26">
        <f ca="1">Calculations!I148</f>
        <v>0</v>
      </c>
      <c r="H147" s="26">
        <f ca="1">Calculations!J148</f>
        <v>0</v>
      </c>
      <c r="I147" s="26">
        <f ca="1">Calculations!K148</f>
        <v>0</v>
      </c>
      <c r="J147" s="26">
        <f ca="1">Calculations!L148</f>
        <v>0</v>
      </c>
      <c r="K147" s="26">
        <f ca="1">Calculations!M148</f>
        <v>0</v>
      </c>
      <c r="L147" s="26">
        <f ca="1">Calculations!N148</f>
        <v>0</v>
      </c>
      <c r="M147" s="26">
        <f ca="1">Calculations!O148</f>
        <v>0</v>
      </c>
      <c r="N147" s="25"/>
    </row>
    <row r="148" spans="1:14" x14ac:dyDescent="0.2">
      <c r="A148" s="25"/>
      <c r="B148" s="115" t="s">
        <v>108</v>
      </c>
      <c r="C148" s="115">
        <f ca="1">SUM(C146:C147)</f>
        <v>0</v>
      </c>
      <c r="D148" s="115">
        <f t="shared" ref="D148:M148" ca="1" si="12">SUM(D146:D147)</f>
        <v>150055.46339897258</v>
      </c>
      <c r="E148" s="115">
        <f t="shared" ca="1" si="12"/>
        <v>182044.48763912669</v>
      </c>
      <c r="F148" s="115">
        <f t="shared" ca="1" si="12"/>
        <v>216545.05783657962</v>
      </c>
      <c r="G148" s="115">
        <f t="shared" ca="1" si="12"/>
        <v>256432.29635694035</v>
      </c>
      <c r="H148" s="115">
        <f t="shared" ca="1" si="12"/>
        <v>302513.32434858131</v>
      </c>
      <c r="I148" s="115">
        <f t="shared" ca="1" si="12"/>
        <v>355720.69498139428</v>
      </c>
      <c r="J148" s="115">
        <f t="shared" ca="1" si="12"/>
        <v>417133.61753964954</v>
      </c>
      <c r="K148" s="115">
        <f t="shared" ca="1" si="12"/>
        <v>485827.12885581603</v>
      </c>
      <c r="L148" s="115">
        <f t="shared" ca="1" si="12"/>
        <v>539458.75795046974</v>
      </c>
      <c r="M148" s="115">
        <f t="shared" ca="1" si="12"/>
        <v>537442.4951181683</v>
      </c>
      <c r="N148" s="25"/>
    </row>
    <row r="149" spans="1:14" x14ac:dyDescent="0.2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5"/>
    </row>
    <row r="150" spans="1:14" ht="15" x14ac:dyDescent="0.25">
      <c r="A150" s="25"/>
      <c r="B150" s="41" t="s">
        <v>107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5"/>
    </row>
    <row r="151" spans="1:14" x14ac:dyDescent="0.2">
      <c r="A151" s="25"/>
      <c r="B151" s="28" t="s">
        <v>11</v>
      </c>
      <c r="C151" s="26">
        <f>Calculations!E152</f>
        <v>1513000</v>
      </c>
      <c r="D151" s="26">
        <f>Calculations!F152</f>
        <v>1513000</v>
      </c>
      <c r="E151" s="26">
        <f>Calculations!G152</f>
        <v>778533.98058252421</v>
      </c>
      <c r="F151" s="26">
        <f>Calculations!H152</f>
        <v>0</v>
      </c>
      <c r="G151" s="26">
        <f>Calculations!I152</f>
        <v>0</v>
      </c>
      <c r="H151" s="26">
        <f>Calculations!J152</f>
        <v>0</v>
      </c>
      <c r="I151" s="26">
        <f>Calculations!K152</f>
        <v>0</v>
      </c>
      <c r="J151" s="26">
        <f>Calculations!L152</f>
        <v>0</v>
      </c>
      <c r="K151" s="26">
        <f>Calculations!M152</f>
        <v>0</v>
      </c>
      <c r="L151" s="26">
        <f>Calculations!N152</f>
        <v>0</v>
      </c>
      <c r="M151" s="26">
        <f>Calculations!O152</f>
        <v>0</v>
      </c>
      <c r="N151" s="25"/>
    </row>
    <row r="152" spans="1:14" x14ac:dyDescent="0.2">
      <c r="A152" s="25"/>
      <c r="B152" s="28" t="s">
        <v>12</v>
      </c>
      <c r="C152" s="26">
        <f ca="1">Calculations!E153</f>
        <v>228482.82177151006</v>
      </c>
      <c r="D152" s="26">
        <f ca="1">Calculations!F153</f>
        <v>0</v>
      </c>
      <c r="E152" s="26">
        <f ca="1">Calculations!G153</f>
        <v>0</v>
      </c>
      <c r="F152" s="26">
        <f ca="1">Calculations!H153</f>
        <v>0</v>
      </c>
      <c r="G152" s="26">
        <f ca="1">Calculations!I153</f>
        <v>0</v>
      </c>
      <c r="H152" s="26">
        <f ca="1">Calculations!J153</f>
        <v>0</v>
      </c>
      <c r="I152" s="26">
        <f ca="1">Calculations!K153</f>
        <v>0</v>
      </c>
      <c r="J152" s="26">
        <f ca="1">Calculations!L153</f>
        <v>0</v>
      </c>
      <c r="K152" s="26">
        <f ca="1">Calculations!M153</f>
        <v>0</v>
      </c>
      <c r="L152" s="26">
        <f ca="1">Calculations!N153</f>
        <v>0</v>
      </c>
      <c r="M152" s="26">
        <f ca="1">Calculations!O153</f>
        <v>0</v>
      </c>
      <c r="N152" s="25"/>
    </row>
    <row r="153" spans="1:14" x14ac:dyDescent="0.2">
      <c r="A153" s="25"/>
      <c r="B153" s="115" t="s">
        <v>109</v>
      </c>
      <c r="C153" s="115">
        <f t="shared" ref="C153:M153" ca="1" si="13">SUM(C151:C152)</f>
        <v>1741482.8217715099</v>
      </c>
      <c r="D153" s="115">
        <f t="shared" ca="1" si="13"/>
        <v>1513000</v>
      </c>
      <c r="E153" s="115">
        <f t="shared" ca="1" si="13"/>
        <v>778533.98058252421</v>
      </c>
      <c r="F153" s="115">
        <f t="shared" ca="1" si="13"/>
        <v>0</v>
      </c>
      <c r="G153" s="115">
        <f t="shared" ca="1" si="13"/>
        <v>0</v>
      </c>
      <c r="H153" s="115">
        <f t="shared" ca="1" si="13"/>
        <v>0</v>
      </c>
      <c r="I153" s="115">
        <f t="shared" ca="1" si="13"/>
        <v>0</v>
      </c>
      <c r="J153" s="115">
        <f t="shared" ca="1" si="13"/>
        <v>0</v>
      </c>
      <c r="K153" s="115">
        <f t="shared" ca="1" si="13"/>
        <v>0</v>
      </c>
      <c r="L153" s="115">
        <f t="shared" ca="1" si="13"/>
        <v>0</v>
      </c>
      <c r="M153" s="115">
        <f t="shared" ca="1" si="13"/>
        <v>0</v>
      </c>
      <c r="N153" s="25"/>
    </row>
    <row r="154" spans="1:14" x14ac:dyDescent="0.2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5"/>
    </row>
    <row r="155" spans="1:14" ht="15" x14ac:dyDescent="0.25">
      <c r="A155" s="25"/>
      <c r="B155" s="41" t="s">
        <v>110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5"/>
    </row>
    <row r="156" spans="1:14" x14ac:dyDescent="0.2">
      <c r="A156" s="25"/>
      <c r="B156" s="28" t="s">
        <v>111</v>
      </c>
      <c r="C156" s="26">
        <f ca="1">Calculations!E157</f>
        <v>1741482.8217727907</v>
      </c>
      <c r="D156" s="26">
        <f ca="1">Calculations!F157</f>
        <v>1741482.8217727907</v>
      </c>
      <c r="E156" s="26">
        <f ca="1">Calculations!G157</f>
        <v>1741482.8217727907</v>
      </c>
      <c r="F156" s="26">
        <f ca="1">Calculations!H157</f>
        <v>1741482.8217727907</v>
      </c>
      <c r="G156" s="26">
        <f ca="1">Calculations!I157</f>
        <v>1741482.8217727907</v>
      </c>
      <c r="H156" s="26">
        <f ca="1">Calculations!J157</f>
        <v>1741482.8217727907</v>
      </c>
      <c r="I156" s="26">
        <f ca="1">Calculations!K157</f>
        <v>1741482.8217727907</v>
      </c>
      <c r="J156" s="26">
        <f ca="1">Calculations!L157</f>
        <v>1741482.8217727907</v>
      </c>
      <c r="K156" s="26">
        <f ca="1">Calculations!M157</f>
        <v>1741482.8217727907</v>
      </c>
      <c r="L156" s="26">
        <f ca="1">Calculations!N157</f>
        <v>1741482.8217727907</v>
      </c>
      <c r="M156" s="26">
        <f ca="1">Calculations!O157</f>
        <v>1741482.8217727907</v>
      </c>
      <c r="N156" s="25"/>
    </row>
    <row r="157" spans="1:14" x14ac:dyDescent="0.2">
      <c r="A157" s="25"/>
      <c r="B157" s="28" t="s">
        <v>112</v>
      </c>
      <c r="C157" s="26">
        <f>Calculations!E158</f>
        <v>0</v>
      </c>
      <c r="D157" s="26">
        <f ca="1">Calculations!F158</f>
        <v>161984.81709062238</v>
      </c>
      <c r="E157" s="26">
        <f ca="1">Calculations!G158</f>
        <v>823516.20503318263</v>
      </c>
      <c r="F157" s="26">
        <f ca="1">Calculations!H158</f>
        <v>1846548.4054856854</v>
      </c>
      <c r="G157" s="26">
        <f ca="1">Calculations!I158</f>
        <v>2832847.2600410595</v>
      </c>
      <c r="H157" s="26">
        <f ca="1">Calculations!J158</f>
        <v>4169621.4244269934</v>
      </c>
      <c r="I157" s="26">
        <f ca="1">Calculations!K158</f>
        <v>5928526.0322724022</v>
      </c>
      <c r="J157" s="26">
        <f ca="1">Calculations!L158</f>
        <v>8093629.8888458479</v>
      </c>
      <c r="K157" s="26">
        <f ca="1">Calculations!M158</f>
        <v>10690696.230802145</v>
      </c>
      <c r="L157" s="26">
        <f ca="1">Calculations!N158</f>
        <v>13543561.038963761</v>
      </c>
      <c r="M157" s="26">
        <f ca="1">Calculations!O158</f>
        <v>15887794.904260989</v>
      </c>
      <c r="N157" s="25"/>
    </row>
    <row r="158" spans="1:14" x14ac:dyDescent="0.2">
      <c r="A158" s="25"/>
      <c r="B158" s="115" t="s">
        <v>113</v>
      </c>
      <c r="C158" s="115">
        <f ca="1">SUM(C156:C157)</f>
        <v>1741482.8217727907</v>
      </c>
      <c r="D158" s="115">
        <f ca="1">SUM(D156:D157)</f>
        <v>1903467.6388634131</v>
      </c>
      <c r="E158" s="115">
        <f t="shared" ref="E158:M158" ca="1" si="14">SUM(E156:E157)</f>
        <v>2564999.0268059736</v>
      </c>
      <c r="F158" s="115">
        <f t="shared" ca="1" si="14"/>
        <v>3588031.2272584764</v>
      </c>
      <c r="G158" s="115">
        <f t="shared" ca="1" si="14"/>
        <v>4574330.0818138504</v>
      </c>
      <c r="H158" s="115">
        <f t="shared" ca="1" si="14"/>
        <v>5911104.2461997839</v>
      </c>
      <c r="I158" s="115">
        <f t="shared" ca="1" si="14"/>
        <v>7670008.8540451927</v>
      </c>
      <c r="J158" s="115">
        <f t="shared" ca="1" si="14"/>
        <v>9835112.7106186394</v>
      </c>
      <c r="K158" s="115">
        <f t="shared" ca="1" si="14"/>
        <v>12432179.052574936</v>
      </c>
      <c r="L158" s="115">
        <f t="shared" ca="1" si="14"/>
        <v>15285043.860736553</v>
      </c>
      <c r="M158" s="115">
        <f t="shared" ca="1" si="14"/>
        <v>17629277.726033781</v>
      </c>
      <c r="N158" s="25"/>
    </row>
    <row r="159" spans="1:14" s="175" customFormat="1" ht="15.75" thickBot="1" x14ac:dyDescent="0.3">
      <c r="A159" s="174"/>
      <c r="B159" s="43" t="s">
        <v>114</v>
      </c>
      <c r="C159" s="43">
        <f ca="1">ROUND(SUM(C148,C153,C158),0)</f>
        <v>3482966</v>
      </c>
      <c r="D159" s="43">
        <f t="shared" ref="D159:M159" ca="1" si="15">ROUND(SUM(D148,D153,D158),0)</f>
        <v>3566523</v>
      </c>
      <c r="E159" s="43">
        <f t="shared" ca="1" si="15"/>
        <v>3525577</v>
      </c>
      <c r="F159" s="43">
        <f t="shared" ca="1" si="15"/>
        <v>3804576</v>
      </c>
      <c r="G159" s="43">
        <f t="shared" ca="1" si="15"/>
        <v>4830762</v>
      </c>
      <c r="H159" s="43">
        <f t="shared" ca="1" si="15"/>
        <v>6213618</v>
      </c>
      <c r="I159" s="43">
        <f t="shared" ca="1" si="15"/>
        <v>8025730</v>
      </c>
      <c r="J159" s="43">
        <f t="shared" ca="1" si="15"/>
        <v>10252246</v>
      </c>
      <c r="K159" s="43">
        <f t="shared" ca="1" si="15"/>
        <v>12918006</v>
      </c>
      <c r="L159" s="43">
        <f t="shared" ca="1" si="15"/>
        <v>15824503</v>
      </c>
      <c r="M159" s="43">
        <f t="shared" ca="1" si="15"/>
        <v>18166720</v>
      </c>
      <c r="N159" s="174"/>
    </row>
    <row r="160" spans="1:14" x14ac:dyDescent="0.2">
      <c r="A160" s="25"/>
      <c r="B160" s="26"/>
      <c r="C160" s="26">
        <f t="shared" ref="C160:M160" ca="1" si="16">C142-C159</f>
        <v>0</v>
      </c>
      <c r="D160" s="26">
        <f t="shared" ca="1" si="16"/>
        <v>0</v>
      </c>
      <c r="E160" s="26">
        <f t="shared" ca="1" si="16"/>
        <v>0</v>
      </c>
      <c r="F160" s="26">
        <f t="shared" ca="1" si="16"/>
        <v>0</v>
      </c>
      <c r="G160" s="26">
        <f t="shared" ca="1" si="16"/>
        <v>0</v>
      </c>
      <c r="H160" s="26">
        <f t="shared" ca="1" si="16"/>
        <v>0</v>
      </c>
      <c r="I160" s="26">
        <f t="shared" ca="1" si="16"/>
        <v>0</v>
      </c>
      <c r="J160" s="26">
        <f t="shared" ca="1" si="16"/>
        <v>0</v>
      </c>
      <c r="K160" s="26">
        <f t="shared" ca="1" si="16"/>
        <v>0</v>
      </c>
      <c r="L160" s="26">
        <f t="shared" ca="1" si="16"/>
        <v>0</v>
      </c>
      <c r="M160" s="26">
        <f t="shared" ca="1" si="16"/>
        <v>0</v>
      </c>
      <c r="N160" s="25"/>
    </row>
    <row r="161" spans="1:14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</row>
    <row r="162" spans="1:14" ht="18.75" x14ac:dyDescent="0.3">
      <c r="A162" s="25"/>
      <c r="B162" s="31" t="s">
        <v>355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2" t="s">
        <v>6</v>
      </c>
      <c r="N162" s="25"/>
    </row>
    <row r="163" spans="1:14" ht="18.75" x14ac:dyDescent="0.3">
      <c r="A163" s="25"/>
      <c r="B163" s="33" t="str">
        <f>'Input Sheet'!B2</f>
        <v>Name of Project: ABC Private Limited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25"/>
    </row>
    <row r="164" spans="1:14" x14ac:dyDescent="0.2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5"/>
    </row>
    <row r="165" spans="1:14" s="171" customFormat="1" x14ac:dyDescent="0.2">
      <c r="A165" s="170"/>
      <c r="B165" s="35"/>
      <c r="C165" s="36" t="s">
        <v>37</v>
      </c>
      <c r="D165" s="36" t="s">
        <v>38</v>
      </c>
      <c r="E165" s="36" t="s">
        <v>39</v>
      </c>
      <c r="F165" s="36" t="s">
        <v>40</v>
      </c>
      <c r="G165" s="36" t="s">
        <v>41</v>
      </c>
      <c r="H165" s="36" t="s">
        <v>42</v>
      </c>
      <c r="I165" s="36" t="s">
        <v>43</v>
      </c>
      <c r="J165" s="36" t="s">
        <v>44</v>
      </c>
      <c r="K165" s="36" t="s">
        <v>45</v>
      </c>
      <c r="L165" s="36" t="s">
        <v>46</v>
      </c>
      <c r="M165" s="36" t="s">
        <v>47</v>
      </c>
      <c r="N165" s="170"/>
    </row>
    <row r="166" spans="1:14" ht="14.25" x14ac:dyDescent="0.2">
      <c r="A166" s="25"/>
      <c r="B166" s="46" t="s">
        <v>203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5"/>
    </row>
    <row r="167" spans="1:14" x14ac:dyDescent="0.2">
      <c r="A167" s="25"/>
      <c r="B167" s="28" t="s">
        <v>117</v>
      </c>
      <c r="C167" s="26">
        <f>Calculations!E168</f>
        <v>0</v>
      </c>
      <c r="D167" s="26">
        <f ca="1">Calculations!F168</f>
        <v>296983.26386341307</v>
      </c>
      <c r="E167" s="26">
        <f ca="1">Calculations!G168</f>
        <v>930813.328125</v>
      </c>
      <c r="F167" s="26">
        <f ca="1">Calculations!H168</f>
        <v>1499221.2820236648</v>
      </c>
      <c r="G167" s="26">
        <f ca="1">Calculations!I168</f>
        <v>2131403.2414062512</v>
      </c>
      <c r="H167" s="26">
        <f ca="1">Calculations!J168</f>
        <v>2759511.9303906257</v>
      </c>
      <c r="I167" s="26">
        <f ca="1">Calculations!K168</f>
        <v>3475403.1241171882</v>
      </c>
      <c r="J167" s="26">
        <f ca="1">Calculations!L168</f>
        <v>4211465.4739546906</v>
      </c>
      <c r="K167" s="26">
        <f ca="1">Calculations!M168</f>
        <v>5043696.5637617987</v>
      </c>
      <c r="L167" s="26">
        <f ca="1">Calculations!N168</f>
        <v>5500488.5565382885</v>
      </c>
      <c r="M167" s="26">
        <f ca="1">Calculations!O168</f>
        <v>5991480.9109334676</v>
      </c>
      <c r="N167" s="25"/>
    </row>
    <row r="168" spans="1:14" x14ac:dyDescent="0.2">
      <c r="A168" s="25"/>
      <c r="B168" s="28" t="s">
        <v>245</v>
      </c>
      <c r="C168" s="26">
        <f>Calculations!E169</f>
        <v>0</v>
      </c>
      <c r="D168" s="26">
        <f>Calculations!F169</f>
        <v>490200</v>
      </c>
      <c r="E168" s="26">
        <f>Calculations!G169</f>
        <v>418200</v>
      </c>
      <c r="F168" s="26">
        <f>Calculations!H169</f>
        <v>359025</v>
      </c>
      <c r="G168" s="26">
        <f>Calculations!I169</f>
        <v>310143.75</v>
      </c>
      <c r="H168" s="26">
        <f>Calculations!J169</f>
        <v>269586.9375</v>
      </c>
      <c r="I168" s="26">
        <f>Calculations!K169</f>
        <v>180608.22187499999</v>
      </c>
      <c r="J168" s="26">
        <f>Calculations!L169</f>
        <v>152382.51609374999</v>
      </c>
      <c r="K168" s="26">
        <f>Calculations!M169</f>
        <v>128731.00792968749</v>
      </c>
      <c r="L168" s="26">
        <f>Calculations!N169</f>
        <v>108865.46521523438</v>
      </c>
      <c r="M168" s="26">
        <f>Calculations!O169</f>
        <v>92146.521365449211</v>
      </c>
      <c r="N168" s="25"/>
    </row>
    <row r="169" spans="1:14" x14ac:dyDescent="0.2">
      <c r="A169" s="25"/>
      <c r="B169" s="28" t="s">
        <v>95</v>
      </c>
      <c r="C169" s="26">
        <f>Calculations!E170</f>
        <v>0</v>
      </c>
      <c r="D169" s="26">
        <f>Calculations!F170</f>
        <v>-320054.7945205479</v>
      </c>
      <c r="E169" s="26">
        <f>Calculations!G170</f>
        <v>-33655.479452054831</v>
      </c>
      <c r="F169" s="26">
        <f>Calculations!H170</f>
        <v>-69433.356164383527</v>
      </c>
      <c r="G169" s="26">
        <f>Calculations!I170</f>
        <v>-76774.500000000058</v>
      </c>
      <c r="H169" s="26">
        <f>Calculations!J170</f>
        <v>-87897.963698630279</v>
      </c>
      <c r="I169" s="26">
        <f>Calculations!K170</f>
        <v>-100478.37513698637</v>
      </c>
      <c r="J169" s="26">
        <f>Calculations!L170</f>
        <v>-114695.88922602753</v>
      </c>
      <c r="K169" s="26">
        <f>Calculations!M170</f>
        <v>-130752.12238150695</v>
      </c>
      <c r="L169" s="26">
        <f>Calculations!N170</f>
        <v>-120286.56510410982</v>
      </c>
      <c r="M169" s="26">
        <f>Calculations!O170</f>
        <v>-105887.4143679454</v>
      </c>
      <c r="N169" s="25"/>
    </row>
    <row r="170" spans="1:14" x14ac:dyDescent="0.2">
      <c r="A170" s="25"/>
      <c r="B170" s="28" t="s">
        <v>21</v>
      </c>
      <c r="C170" s="26">
        <f>Calculations!E171</f>
        <v>0</v>
      </c>
      <c r="D170" s="26">
        <f>Calculations!F171</f>
        <v>-82213.983050847455</v>
      </c>
      <c r="E170" s="26">
        <f>Calculations!G171</f>
        <v>-13548.63328419748</v>
      </c>
      <c r="F170" s="26">
        <f>Calculations!H171</f>
        <v>-15813.10252669522</v>
      </c>
      <c r="G170" s="26">
        <f>Calculations!I171</f>
        <v>-18018.423066791584</v>
      </c>
      <c r="H170" s="26">
        <f>Calculations!J171</f>
        <v>-20506.641960936526</v>
      </c>
      <c r="I170" s="26">
        <f>Calculations!K171</f>
        <v>-23312.292915303668</v>
      </c>
      <c r="J170" s="26">
        <f>Calculations!L171</f>
        <v>-26473.985597626248</v>
      </c>
      <c r="K170" s="26">
        <f>Calculations!M171</f>
        <v>-30034.876023345569</v>
      </c>
      <c r="L170" s="26">
        <f>Calculations!N171</f>
        <v>-22954.554003943922</v>
      </c>
      <c r="M170" s="26">
        <f>Calculations!O171</f>
        <v>-25287.649242968851</v>
      </c>
      <c r="N170" s="25"/>
    </row>
    <row r="171" spans="1:14" x14ac:dyDescent="0.2">
      <c r="A171" s="25"/>
      <c r="B171" s="28" t="s">
        <v>118</v>
      </c>
      <c r="C171" s="26">
        <f>Calculations!E172</f>
        <v>0</v>
      </c>
      <c r="D171" s="26">
        <f>Calculations!F172</f>
        <v>0</v>
      </c>
      <c r="E171" s="26">
        <f>Calculations!G172</f>
        <v>0</v>
      </c>
      <c r="F171" s="26">
        <f>Calculations!H172</f>
        <v>0</v>
      </c>
      <c r="G171" s="26">
        <f>Calculations!I172</f>
        <v>0</v>
      </c>
      <c r="H171" s="26">
        <f>Calculations!J172</f>
        <v>0</v>
      </c>
      <c r="I171" s="26">
        <f>Calculations!K172</f>
        <v>0</v>
      </c>
      <c r="J171" s="26">
        <f>Calculations!L172</f>
        <v>0</v>
      </c>
      <c r="K171" s="26">
        <f>Calculations!M172</f>
        <v>0</v>
      </c>
      <c r="L171" s="26">
        <f>Calculations!N172</f>
        <v>0</v>
      </c>
      <c r="M171" s="26">
        <f>Calculations!O172</f>
        <v>0</v>
      </c>
      <c r="N171" s="25"/>
    </row>
    <row r="172" spans="1:14" x14ac:dyDescent="0.2">
      <c r="A172" s="25"/>
      <c r="B172" s="28" t="s">
        <v>20</v>
      </c>
      <c r="C172" s="26">
        <f>Calculations!E173</f>
        <v>-152109.375</v>
      </c>
      <c r="D172" s="26">
        <f>Calculations!F173</f>
        <v>-31990.234375</v>
      </c>
      <c r="E172" s="26">
        <f>Calculations!G173</f>
        <v>-55818.339843750029</v>
      </c>
      <c r="F172" s="26">
        <f>Calculations!H173</f>
        <v>-71143.249804687599</v>
      </c>
      <c r="G172" s="26">
        <f>Calculations!I173</f>
        <v>-90443.033162109496</v>
      </c>
      <c r="H172" s="26">
        <f>Calculations!J173</f>
        <v>-114711.30821326195</v>
      </c>
      <c r="I172" s="26">
        <f>Calculations!K173</f>
        <v>-145183.72102344903</v>
      </c>
      <c r="J172" s="26">
        <f>Calculations!L173</f>
        <v>-183395.77852171089</v>
      </c>
      <c r="K172" s="26">
        <f>Calculations!M173</f>
        <v>-178304.41404963133</v>
      </c>
      <c r="L172" s="26">
        <f>Calculations!N173</f>
        <v>-214850.88533865637</v>
      </c>
      <c r="M172" s="26">
        <f>Calculations!O173</f>
        <v>1237950.3393322567</v>
      </c>
      <c r="N172" s="25"/>
    </row>
    <row r="173" spans="1:14" x14ac:dyDescent="0.2">
      <c r="A173" s="25"/>
      <c r="B173" s="28" t="s">
        <v>96</v>
      </c>
      <c r="C173" s="26">
        <f>Calculations!E174</f>
        <v>-45000</v>
      </c>
      <c r="D173" s="26">
        <f>Calculations!F174</f>
        <v>-4500.0000000000073</v>
      </c>
      <c r="E173" s="26">
        <f>Calculations!G174</f>
        <v>-4950</v>
      </c>
      <c r="F173" s="26">
        <f>Calculations!H174</f>
        <v>-5445.0000000000146</v>
      </c>
      <c r="G173" s="26">
        <f>Calculations!I174</f>
        <v>-5989.5000000000073</v>
      </c>
      <c r="H173" s="26">
        <f>Calculations!J174</f>
        <v>-6588.4500000000116</v>
      </c>
      <c r="I173" s="26">
        <f>Calculations!K174</f>
        <v>-7247.2950000000128</v>
      </c>
      <c r="J173" s="26">
        <f>Calculations!L174</f>
        <v>-7972.0245000000141</v>
      </c>
      <c r="K173" s="26">
        <f>Calculations!M174</f>
        <v>-8769.2269499999966</v>
      </c>
      <c r="L173" s="26">
        <f>Calculations!N174</f>
        <v>-9646.1496450000268</v>
      </c>
      <c r="M173" s="26">
        <f>Calculations!O174</f>
        <v>106107.64609500009</v>
      </c>
      <c r="N173" s="25"/>
    </row>
    <row r="174" spans="1:14" x14ac:dyDescent="0.2">
      <c r="A174" s="25"/>
      <c r="B174" s="28" t="s">
        <v>106</v>
      </c>
      <c r="C174" s="26">
        <f>Calculations!E175</f>
        <v>0</v>
      </c>
      <c r="D174" s="26">
        <f>Calculations!F175</f>
        <v>150055.46339897258</v>
      </c>
      <c r="E174" s="26">
        <f>Calculations!G175</f>
        <v>31989.024240154104</v>
      </c>
      <c r="F174" s="26">
        <f>Calculations!H175</f>
        <v>34500.570197452937</v>
      </c>
      <c r="G174" s="26">
        <f>Calculations!I175</f>
        <v>39887.238520360726</v>
      </c>
      <c r="H174" s="26">
        <f>Calculations!J175</f>
        <v>46081.027991640964</v>
      </c>
      <c r="I174" s="26">
        <f>Calculations!K175</f>
        <v>53207.370632812963</v>
      </c>
      <c r="J174" s="26">
        <f>Calculations!L175</f>
        <v>61412.922558255261</v>
      </c>
      <c r="K174" s="26">
        <f>Calculations!M175</f>
        <v>68693.511316166492</v>
      </c>
      <c r="L174" s="26">
        <f>Calculations!N175</f>
        <v>53631.629094653705</v>
      </c>
      <c r="M174" s="26">
        <f>Calculations!O175</f>
        <v>-2016.262832301436</v>
      </c>
      <c r="N174" s="25"/>
    </row>
    <row r="175" spans="1:14" ht="13.5" thickBot="1" x14ac:dyDescent="0.25">
      <c r="A175" s="25"/>
      <c r="B175" s="30" t="s">
        <v>119</v>
      </c>
      <c r="C175" s="30">
        <f t="shared" ref="C175:M175" si="17">SUM(C167:C174)</f>
        <v>-197109.375</v>
      </c>
      <c r="D175" s="30">
        <f t="shared" ca="1" si="17"/>
        <v>498479.71531599032</v>
      </c>
      <c r="E175" s="30">
        <f t="shared" ca="1" si="17"/>
        <v>1273029.8997851517</v>
      </c>
      <c r="F175" s="30">
        <f t="shared" ca="1" si="17"/>
        <v>1730912.1437253514</v>
      </c>
      <c r="G175" s="30">
        <f t="shared" ca="1" si="17"/>
        <v>2290208.7736977106</v>
      </c>
      <c r="H175" s="30">
        <f t="shared" ca="1" si="17"/>
        <v>2845475.5320094377</v>
      </c>
      <c r="I175" s="30">
        <f t="shared" ca="1" si="17"/>
        <v>3432997.0325492616</v>
      </c>
      <c r="J175" s="30">
        <f t="shared" ca="1" si="17"/>
        <v>4092723.2347613303</v>
      </c>
      <c r="K175" s="30">
        <f t="shared" ca="1" si="17"/>
        <v>4893260.4436031682</v>
      </c>
      <c r="L175" s="30">
        <f t="shared" ca="1" si="17"/>
        <v>5295247.4967564661</v>
      </c>
      <c r="M175" s="30">
        <f t="shared" ca="1" si="17"/>
        <v>7294494.0912829572</v>
      </c>
      <c r="N175" s="25"/>
    </row>
    <row r="176" spans="1:14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5"/>
    </row>
    <row r="177" spans="1:14" ht="14.25" x14ac:dyDescent="0.2">
      <c r="A177" s="25"/>
      <c r="B177" s="46" t="s">
        <v>204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5"/>
    </row>
    <row r="178" spans="1:14" x14ac:dyDescent="0.2">
      <c r="A178" s="25"/>
      <c r="B178" s="26" t="str">
        <f>Calculations!B179</f>
        <v>Project Loan - principal repayment</v>
      </c>
      <c r="C178" s="26">
        <f>Calculations!E179</f>
        <v>0</v>
      </c>
      <c r="D178" s="26">
        <f>Calculations!F179</f>
        <v>0</v>
      </c>
      <c r="E178" s="26">
        <f>Calculations!G179</f>
        <v>-734466.01941747579</v>
      </c>
      <c r="F178" s="26">
        <f>Calculations!H179</f>
        <v>-778533.98058252432</v>
      </c>
      <c r="G178" s="26">
        <f>Calculations!I179</f>
        <v>0</v>
      </c>
      <c r="H178" s="26">
        <f>Calculations!J179</f>
        <v>0</v>
      </c>
      <c r="I178" s="26">
        <f>Calculations!K179</f>
        <v>0</v>
      </c>
      <c r="J178" s="26">
        <f>Calculations!L179</f>
        <v>0</v>
      </c>
      <c r="K178" s="26">
        <f>Calculations!M179</f>
        <v>0</v>
      </c>
      <c r="L178" s="26">
        <f>Calculations!N179</f>
        <v>0</v>
      </c>
      <c r="M178" s="26">
        <f>Calculations!O179</f>
        <v>0</v>
      </c>
      <c r="N178" s="25"/>
    </row>
    <row r="179" spans="1:14" x14ac:dyDescent="0.2">
      <c r="A179" s="25"/>
      <c r="B179" s="26" t="str">
        <f>Calculations!B180</f>
        <v>Working Capital Loan - principal repayment</v>
      </c>
      <c r="C179" s="26">
        <f>Calculations!E180</f>
        <v>0</v>
      </c>
      <c r="D179" s="26">
        <f ca="1">Calculations!F180</f>
        <v>-228482.82177162741</v>
      </c>
      <c r="E179" s="26">
        <f ca="1">Calculations!G180</f>
        <v>0</v>
      </c>
      <c r="F179" s="26">
        <f ca="1">Calculations!H180</f>
        <v>0</v>
      </c>
      <c r="G179" s="26">
        <f ca="1">Calculations!I180</f>
        <v>0</v>
      </c>
      <c r="H179" s="26">
        <f ca="1">Calculations!J180</f>
        <v>0</v>
      </c>
      <c r="I179" s="26">
        <f ca="1">Calculations!K180</f>
        <v>0</v>
      </c>
      <c r="J179" s="26">
        <f ca="1">Calculations!L180</f>
        <v>0</v>
      </c>
      <c r="K179" s="26">
        <f ca="1">Calculations!M180</f>
        <v>0</v>
      </c>
      <c r="L179" s="26">
        <f ca="1">Calculations!N180</f>
        <v>0</v>
      </c>
      <c r="M179" s="26">
        <f ca="1">Calculations!O180</f>
        <v>0</v>
      </c>
      <c r="N179" s="25"/>
    </row>
    <row r="180" spans="1:14" x14ac:dyDescent="0.2">
      <c r="A180" s="25"/>
      <c r="B180" s="26" t="str">
        <f>Calculations!B181</f>
        <v>Bank overdraft repayment</v>
      </c>
      <c r="C180" s="26">
        <f>Calculations!E181</f>
        <v>0</v>
      </c>
      <c r="D180" s="26">
        <f ca="1">Calculations!F181</f>
        <v>0</v>
      </c>
      <c r="E180" s="26">
        <f ca="1">Calculations!G181</f>
        <v>0</v>
      </c>
      <c r="F180" s="26">
        <f ca="1">Calculations!H181</f>
        <v>0</v>
      </c>
      <c r="G180" s="26">
        <f ca="1">Calculations!I181</f>
        <v>0</v>
      </c>
      <c r="H180" s="26">
        <f ca="1">Calculations!J181</f>
        <v>0</v>
      </c>
      <c r="I180" s="26">
        <f ca="1">Calculations!K181</f>
        <v>0</v>
      </c>
      <c r="J180" s="26">
        <f ca="1">Calculations!L181</f>
        <v>0</v>
      </c>
      <c r="K180" s="26">
        <f ca="1">Calculations!M181</f>
        <v>0</v>
      </c>
      <c r="L180" s="26">
        <f ca="1">Calculations!N181</f>
        <v>0</v>
      </c>
      <c r="M180" s="26">
        <f ca="1">Calculations!O181</f>
        <v>0</v>
      </c>
      <c r="N180" s="25"/>
    </row>
    <row r="181" spans="1:14" x14ac:dyDescent="0.2">
      <c r="A181" s="25"/>
      <c r="B181" s="28" t="str">
        <f>Calculations!B182</f>
        <v>Additions to Project Loan</v>
      </c>
      <c r="C181" s="26">
        <f>Calculations!E182</f>
        <v>1513000</v>
      </c>
      <c r="D181" s="26">
        <f ca="1">Calculations!F182</f>
        <v>0</v>
      </c>
      <c r="E181" s="26">
        <f ca="1">Calculations!G182</f>
        <v>0</v>
      </c>
      <c r="F181" s="26">
        <f ca="1">Calculations!H182</f>
        <v>0</v>
      </c>
      <c r="G181" s="26">
        <f ca="1">Calculations!I182</f>
        <v>0</v>
      </c>
      <c r="H181" s="26">
        <f ca="1">Calculations!J182</f>
        <v>0</v>
      </c>
      <c r="I181" s="26">
        <f ca="1">Calculations!K182</f>
        <v>0</v>
      </c>
      <c r="J181" s="26">
        <f ca="1">Calculations!L182</f>
        <v>0</v>
      </c>
      <c r="K181" s="26">
        <f ca="1">Calculations!M182</f>
        <v>0</v>
      </c>
      <c r="L181" s="26">
        <f ca="1">Calculations!N182</f>
        <v>0</v>
      </c>
      <c r="M181" s="26">
        <f ca="1">Calculations!O182</f>
        <v>0</v>
      </c>
      <c r="N181" s="25"/>
    </row>
    <row r="182" spans="1:14" x14ac:dyDescent="0.2">
      <c r="A182" s="25"/>
      <c r="B182" s="28" t="str">
        <f>Calculations!B183</f>
        <v>Additions to Working Capital Loan</v>
      </c>
      <c r="C182" s="26">
        <f ca="1">Calculations!E183</f>
        <v>228482.82177279069</v>
      </c>
      <c r="D182" s="26">
        <f ca="1">Calculations!F183</f>
        <v>0</v>
      </c>
      <c r="E182" s="26">
        <f ca="1">Calculations!G183</f>
        <v>0</v>
      </c>
      <c r="F182" s="26">
        <f ca="1">Calculations!H183</f>
        <v>0</v>
      </c>
      <c r="G182" s="26">
        <f ca="1">Calculations!I183</f>
        <v>0</v>
      </c>
      <c r="H182" s="26">
        <f ca="1">Calculations!J183</f>
        <v>0</v>
      </c>
      <c r="I182" s="26">
        <f ca="1">Calculations!K183</f>
        <v>0</v>
      </c>
      <c r="J182" s="26">
        <f ca="1">Calculations!L183</f>
        <v>0</v>
      </c>
      <c r="K182" s="26">
        <f ca="1">Calculations!M183</f>
        <v>0</v>
      </c>
      <c r="L182" s="26">
        <f ca="1">Calculations!N183</f>
        <v>0</v>
      </c>
      <c r="M182" s="26">
        <f ca="1">Calculations!O183</f>
        <v>0</v>
      </c>
      <c r="N182" s="25"/>
    </row>
    <row r="183" spans="1:14" x14ac:dyDescent="0.2">
      <c r="A183" s="25"/>
      <c r="B183" s="28" t="s">
        <v>121</v>
      </c>
      <c r="C183" s="26">
        <f ca="1">Calculations!E184</f>
        <v>1741482.8217727907</v>
      </c>
      <c r="D183" s="26">
        <f ca="1">Calculations!F184</f>
        <v>0</v>
      </c>
      <c r="E183" s="26">
        <f ca="1">Calculations!G184</f>
        <v>0</v>
      </c>
      <c r="F183" s="26">
        <f ca="1">Calculations!H184</f>
        <v>0</v>
      </c>
      <c r="G183" s="26">
        <f ca="1">Calculations!I184</f>
        <v>0</v>
      </c>
      <c r="H183" s="26">
        <f ca="1">Calculations!J184</f>
        <v>0</v>
      </c>
      <c r="I183" s="26">
        <f ca="1">Calculations!K184</f>
        <v>0</v>
      </c>
      <c r="J183" s="26">
        <f ca="1">Calculations!L184</f>
        <v>0</v>
      </c>
      <c r="K183" s="26">
        <f ca="1">Calculations!M184</f>
        <v>0</v>
      </c>
      <c r="L183" s="26">
        <f ca="1">Calculations!N184</f>
        <v>0</v>
      </c>
      <c r="M183" s="26">
        <f ca="1">Calculations!O184</f>
        <v>0</v>
      </c>
      <c r="N183" s="25"/>
    </row>
    <row r="184" spans="1:14" ht="13.5" thickBot="1" x14ac:dyDescent="0.25">
      <c r="A184" s="25"/>
      <c r="B184" s="30" t="s">
        <v>122</v>
      </c>
      <c r="C184" s="30">
        <f t="shared" ref="C184:M184" ca="1" si="18">SUM(C178:C183)</f>
        <v>3482965.6435455815</v>
      </c>
      <c r="D184" s="30">
        <f t="shared" ca="1" si="18"/>
        <v>-228482.82177162741</v>
      </c>
      <c r="E184" s="30">
        <f t="shared" ca="1" si="18"/>
        <v>-734466.01941747579</v>
      </c>
      <c r="F184" s="30">
        <f t="shared" ca="1" si="18"/>
        <v>-778533.98058252432</v>
      </c>
      <c r="G184" s="30">
        <f t="shared" ca="1" si="18"/>
        <v>0</v>
      </c>
      <c r="H184" s="30">
        <f t="shared" ca="1" si="18"/>
        <v>0</v>
      </c>
      <c r="I184" s="30">
        <f t="shared" ca="1" si="18"/>
        <v>0</v>
      </c>
      <c r="J184" s="30">
        <f t="shared" ca="1" si="18"/>
        <v>0</v>
      </c>
      <c r="K184" s="30">
        <f t="shared" ca="1" si="18"/>
        <v>0</v>
      </c>
      <c r="L184" s="30">
        <f t="shared" ca="1" si="18"/>
        <v>0</v>
      </c>
      <c r="M184" s="30">
        <f t="shared" ca="1" si="18"/>
        <v>0</v>
      </c>
      <c r="N184" s="25"/>
    </row>
    <row r="185" spans="1:14" x14ac:dyDescent="0.2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5"/>
    </row>
    <row r="186" spans="1:14" ht="14.25" x14ac:dyDescent="0.2">
      <c r="A186" s="25"/>
      <c r="B186" s="46" t="s">
        <v>205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5"/>
    </row>
    <row r="187" spans="1:14" x14ac:dyDescent="0.2">
      <c r="A187" s="25"/>
      <c r="B187" s="28" t="s">
        <v>124</v>
      </c>
      <c r="C187" s="26">
        <f>Calculations!E188</f>
        <v>-3026000</v>
      </c>
      <c r="D187" s="26">
        <f>Calculations!F188</f>
        <v>0</v>
      </c>
      <c r="E187" s="26">
        <f>Calculations!G188</f>
        <v>0</v>
      </c>
      <c r="F187" s="26">
        <f>Calculations!H188</f>
        <v>0</v>
      </c>
      <c r="G187" s="26">
        <f>Calculations!I188</f>
        <v>0</v>
      </c>
      <c r="H187" s="26">
        <f>Calculations!J188</f>
        <v>0</v>
      </c>
      <c r="I187" s="26">
        <f>Calculations!K188</f>
        <v>0</v>
      </c>
      <c r="J187" s="26">
        <f>Calculations!L188</f>
        <v>0</v>
      </c>
      <c r="K187" s="26">
        <f>Calculations!M188</f>
        <v>0</v>
      </c>
      <c r="L187" s="26">
        <f>Calculations!N188</f>
        <v>0</v>
      </c>
      <c r="M187" s="26">
        <f>Calculations!O188</f>
        <v>0</v>
      </c>
      <c r="N187" s="25"/>
    </row>
    <row r="188" spans="1:14" ht="13.5" thickBot="1" x14ac:dyDescent="0.25">
      <c r="A188" s="25"/>
      <c r="B188" s="30" t="s">
        <v>125</v>
      </c>
      <c r="C188" s="30">
        <f t="shared" ref="C188:M188" si="19">SUM(C187:C187)</f>
        <v>-3026000</v>
      </c>
      <c r="D188" s="30">
        <f t="shared" si="19"/>
        <v>0</v>
      </c>
      <c r="E188" s="30">
        <f t="shared" si="19"/>
        <v>0</v>
      </c>
      <c r="F188" s="30">
        <f t="shared" si="19"/>
        <v>0</v>
      </c>
      <c r="G188" s="30">
        <f t="shared" si="19"/>
        <v>0</v>
      </c>
      <c r="H188" s="30">
        <f t="shared" si="19"/>
        <v>0</v>
      </c>
      <c r="I188" s="30">
        <f t="shared" si="19"/>
        <v>0</v>
      </c>
      <c r="J188" s="30">
        <f t="shared" si="19"/>
        <v>0</v>
      </c>
      <c r="K188" s="30">
        <f t="shared" si="19"/>
        <v>0</v>
      </c>
      <c r="L188" s="30">
        <f t="shared" si="19"/>
        <v>0</v>
      </c>
      <c r="M188" s="30">
        <f t="shared" si="19"/>
        <v>0</v>
      </c>
      <c r="N188" s="25"/>
    </row>
    <row r="189" spans="1:14" x14ac:dyDescent="0.2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5"/>
    </row>
    <row r="190" spans="1:14" s="176" customFormat="1" ht="14.25" x14ac:dyDescent="0.2">
      <c r="A190" s="44"/>
      <c r="B190" s="115" t="s">
        <v>129</v>
      </c>
      <c r="C190" s="115">
        <f ca="1">SUM(C175,C184,C188)</f>
        <v>259856.26854558149</v>
      </c>
      <c r="D190" s="115">
        <f t="shared" ref="D190:M190" ca="1" si="20">SUM(D175,D184,D188)</f>
        <v>269996.89354436292</v>
      </c>
      <c r="E190" s="115">
        <f t="shared" ca="1" si="20"/>
        <v>538563.88036767591</v>
      </c>
      <c r="F190" s="115">
        <f t="shared" ca="1" si="20"/>
        <v>952378.16314282711</v>
      </c>
      <c r="G190" s="115">
        <f t="shared" ca="1" si="20"/>
        <v>2290208.7736977106</v>
      </c>
      <c r="H190" s="115">
        <f t="shared" ca="1" si="20"/>
        <v>2845475.5320094377</v>
      </c>
      <c r="I190" s="115">
        <f t="shared" ca="1" si="20"/>
        <v>3432997.0325492616</v>
      </c>
      <c r="J190" s="115">
        <f t="shared" ca="1" si="20"/>
        <v>4092723.2347613303</v>
      </c>
      <c r="K190" s="115">
        <f t="shared" ca="1" si="20"/>
        <v>4893260.4436031682</v>
      </c>
      <c r="L190" s="115">
        <f t="shared" ca="1" si="20"/>
        <v>5295247.4967564661</v>
      </c>
      <c r="M190" s="115">
        <f t="shared" ca="1" si="20"/>
        <v>7294494.0912829572</v>
      </c>
      <c r="N190" s="44"/>
    </row>
    <row r="191" spans="1:14" s="176" customFormat="1" ht="14.25" x14ac:dyDescent="0.2">
      <c r="A191" s="44"/>
      <c r="B191" s="90" t="str">
        <f>Calculations!B193</f>
        <v>Cash balance brought forward</v>
      </c>
      <c r="C191" s="90">
        <f>Calculations!E193</f>
        <v>0</v>
      </c>
      <c r="D191" s="90">
        <f ca="1">Calculations!F193</f>
        <v>259856.26854301989</v>
      </c>
      <c r="E191" s="90">
        <f ca="1">Calculations!G193</f>
        <v>394854.71531457518</v>
      </c>
      <c r="F191" s="90">
        <f ca="1">Calculations!H193</f>
        <v>664136.65550098405</v>
      </c>
      <c r="G191" s="90">
        <f ca="1">Calculations!I193</f>
        <v>1140325.7370727947</v>
      </c>
      <c r="H191" s="90">
        <f ca="1">Calculations!J193</f>
        <v>2285430.1239179438</v>
      </c>
      <c r="I191" s="90">
        <f ca="1">Calculations!K193</f>
        <v>3708167.8899228033</v>
      </c>
      <c r="J191" s="90">
        <f ca="1">Calculations!L193</f>
        <v>5424666.4062026422</v>
      </c>
      <c r="K191" s="90">
        <f ca="1">Calculations!M193</f>
        <v>7471028.0235821214</v>
      </c>
      <c r="L191" s="90">
        <f ca="1">Calculations!N193</f>
        <v>9917658.2453765739</v>
      </c>
      <c r="M191" s="90">
        <f ca="1">Calculations!O193</f>
        <v>12565281.993757833</v>
      </c>
      <c r="N191" s="44"/>
    </row>
    <row r="192" spans="1:14" s="176" customFormat="1" ht="14.25" x14ac:dyDescent="0.2">
      <c r="A192" s="44"/>
      <c r="B192" s="90" t="str">
        <f>Calculations!B195</f>
        <v>NET CASH (available for appropriation)</v>
      </c>
      <c r="C192" s="90">
        <f ca="1">Calculations!E195</f>
        <v>259856.26854558149</v>
      </c>
      <c r="D192" s="90">
        <f ca="1">Calculations!F195</f>
        <v>394854.71531520132</v>
      </c>
      <c r="E192" s="90">
        <f ca="1">Calculations!G195</f>
        <v>664136.65549841314</v>
      </c>
      <c r="F192" s="90">
        <f ca="1">Calculations!H195</f>
        <v>1140325.7370723975</v>
      </c>
      <c r="G192" s="90">
        <f ca="1">Calculations!I195</f>
        <v>2285430.12392165</v>
      </c>
      <c r="H192" s="90">
        <f ca="1">Calculations!J195</f>
        <v>3708167.8899226626</v>
      </c>
      <c r="I192" s="90">
        <f ca="1">Calculations!K195</f>
        <v>5424666.4061974343</v>
      </c>
      <c r="J192" s="90">
        <f ca="1">Calculations!L195</f>
        <v>7471028.023583306</v>
      </c>
      <c r="K192" s="90">
        <f ca="1">Calculations!M195</f>
        <v>9917658.2453837041</v>
      </c>
      <c r="L192" s="90">
        <f ca="1">Calculations!N195</f>
        <v>12565281.993754808</v>
      </c>
      <c r="M192" s="90">
        <f ca="1">Calculations!O195</f>
        <v>16212529.039399311</v>
      </c>
      <c r="N192" s="44"/>
    </row>
    <row r="193" spans="1:14" s="176" customFormat="1" ht="15" thickBot="1" x14ac:dyDescent="0.25">
      <c r="A193" s="44"/>
      <c r="B193" s="43" t="s">
        <v>332</v>
      </c>
      <c r="C193" s="43">
        <f ca="1">Calculations!E196</f>
        <v>259856.26854558149</v>
      </c>
      <c r="D193" s="43">
        <f ca="1">Calculations!F196</f>
        <v>394854.71531520132</v>
      </c>
      <c r="E193" s="43">
        <f ca="1">Calculations!G196</f>
        <v>664136.65549841314</v>
      </c>
      <c r="F193" s="43">
        <f ca="1">Calculations!H196</f>
        <v>1140325.7370723975</v>
      </c>
      <c r="G193" s="43">
        <f ca="1">Calculations!I196</f>
        <v>2285430.12392165</v>
      </c>
      <c r="H193" s="43">
        <f ca="1">Calculations!J196</f>
        <v>3708167.8899226626</v>
      </c>
      <c r="I193" s="43">
        <f ca="1">Calculations!K196</f>
        <v>5424666.4061974343</v>
      </c>
      <c r="J193" s="43">
        <f ca="1">Calculations!L196</f>
        <v>7471028.023583306</v>
      </c>
      <c r="K193" s="43">
        <f ca="1">Calculations!M196</f>
        <v>9917658.2453837041</v>
      </c>
      <c r="L193" s="43">
        <f ca="1">Calculations!N196</f>
        <v>12565281.993754808</v>
      </c>
      <c r="M193" s="43">
        <f ca="1">Calculations!O196</f>
        <v>16212529.039399311</v>
      </c>
      <c r="N193" s="44"/>
    </row>
    <row r="194" spans="1:14" s="176" customFormat="1" ht="14.25" x14ac:dyDescent="0.2">
      <c r="A194" s="44"/>
      <c r="B194" s="263"/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  <c r="M194" s="263"/>
      <c r="N194" s="44"/>
    </row>
    <row r="195" spans="1:14" ht="3.9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</row>
  </sheetData>
  <sheetProtection algorithmName="SHA-512" hashValue="yxahNhcZlbwHXwNo9vpfNzuGESjrgGrwzhCI9w1s51dGHw9p4OdbN/GA/t00PzBJcxyEa2xEE6vkg7fKLQky7w==" saltValue="6NDKjGkVt30kHqLgzKhZ0Q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B82:C82"/>
  </mergeCells>
  <pageMargins left="0.7" right="0.7" top="0.75" bottom="0.75" header="0.3" footer="0.3"/>
  <pageSetup paperSize="9" scale="5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</sheetPr>
  <dimension ref="A1:S245"/>
  <sheetViews>
    <sheetView zoomScale="140" zoomScaleNormal="140" workbookViewId="0">
      <selection activeCell="F105" sqref="F105"/>
    </sheetView>
  </sheetViews>
  <sheetFormatPr defaultColWidth="8.85546875" defaultRowHeight="12.75" x14ac:dyDescent="0.2"/>
  <cols>
    <col min="1" max="1" width="1" style="25" customWidth="1"/>
    <col min="2" max="2" width="15.28515625" style="26" customWidth="1"/>
    <col min="3" max="3" width="11" style="26" customWidth="1"/>
    <col min="4" max="4" width="14.42578125" style="26" bestFit="1" customWidth="1"/>
    <col min="5" max="5" width="13.7109375" style="26" bestFit="1" customWidth="1"/>
    <col min="6" max="6" width="13" style="26" bestFit="1" customWidth="1"/>
    <col min="7" max="7" width="15.85546875" style="26" bestFit="1" customWidth="1"/>
    <col min="8" max="9" width="12.7109375" style="26" bestFit="1" customWidth="1"/>
    <col min="10" max="11" width="13.42578125" style="26" bestFit="1" customWidth="1"/>
    <col min="12" max="12" width="12" style="26" bestFit="1" customWidth="1"/>
    <col min="13" max="13" width="12.28515625" style="26" customWidth="1"/>
    <col min="14" max="15" width="13.42578125" style="26" bestFit="1" customWidth="1"/>
    <col min="16" max="16" width="1.42578125" style="25" customWidth="1"/>
    <col min="17" max="17" width="9.140625" style="26"/>
    <col min="18" max="18" width="16.42578125" style="26" bestFit="1" customWidth="1"/>
    <col min="19" max="256" width="9.140625" style="26"/>
    <col min="257" max="257" width="1.42578125" style="26" customWidth="1"/>
    <col min="258" max="258" width="15.28515625" style="26" customWidth="1"/>
    <col min="259" max="259" width="11" style="26" customWidth="1"/>
    <col min="260" max="260" width="12" style="26" customWidth="1"/>
    <col min="261" max="261" width="13.28515625" style="26" bestFit="1" customWidth="1"/>
    <col min="262" max="262" width="12.42578125" style="26" bestFit="1" customWidth="1"/>
    <col min="263" max="266" width="12" style="26" bestFit="1" customWidth="1"/>
    <col min="267" max="267" width="11.7109375" style="26" bestFit="1" customWidth="1"/>
    <col min="268" max="268" width="12.42578125" style="26" bestFit="1" customWidth="1"/>
    <col min="269" max="269" width="12.28515625" style="26" customWidth="1"/>
    <col min="270" max="270" width="12.7109375" style="26" bestFit="1" customWidth="1"/>
    <col min="271" max="271" width="13" style="26" bestFit="1" customWidth="1"/>
    <col min="272" max="272" width="1.42578125" style="26" customWidth="1"/>
    <col min="273" max="512" width="9.140625" style="26"/>
    <col min="513" max="513" width="1.42578125" style="26" customWidth="1"/>
    <col min="514" max="514" width="15.28515625" style="26" customWidth="1"/>
    <col min="515" max="515" width="11" style="26" customWidth="1"/>
    <col min="516" max="516" width="12" style="26" customWidth="1"/>
    <col min="517" max="517" width="13.28515625" style="26" bestFit="1" customWidth="1"/>
    <col min="518" max="518" width="12.42578125" style="26" bestFit="1" customWidth="1"/>
    <col min="519" max="522" width="12" style="26" bestFit="1" customWidth="1"/>
    <col min="523" max="523" width="11.7109375" style="26" bestFit="1" customWidth="1"/>
    <col min="524" max="524" width="12.42578125" style="26" bestFit="1" customWidth="1"/>
    <col min="525" max="525" width="12.28515625" style="26" customWidth="1"/>
    <col min="526" max="526" width="12.7109375" style="26" bestFit="1" customWidth="1"/>
    <col min="527" max="527" width="13" style="26" bestFit="1" customWidth="1"/>
    <col min="528" max="528" width="1.42578125" style="26" customWidth="1"/>
    <col min="529" max="768" width="9.140625" style="26"/>
    <col min="769" max="769" width="1.42578125" style="26" customWidth="1"/>
    <col min="770" max="770" width="15.28515625" style="26" customWidth="1"/>
    <col min="771" max="771" width="11" style="26" customWidth="1"/>
    <col min="772" max="772" width="12" style="26" customWidth="1"/>
    <col min="773" max="773" width="13.28515625" style="26" bestFit="1" customWidth="1"/>
    <col min="774" max="774" width="12.42578125" style="26" bestFit="1" customWidth="1"/>
    <col min="775" max="778" width="12" style="26" bestFit="1" customWidth="1"/>
    <col min="779" max="779" width="11.7109375" style="26" bestFit="1" customWidth="1"/>
    <col min="780" max="780" width="12.42578125" style="26" bestFit="1" customWidth="1"/>
    <col min="781" max="781" width="12.28515625" style="26" customWidth="1"/>
    <col min="782" max="782" width="12.7109375" style="26" bestFit="1" customWidth="1"/>
    <col min="783" max="783" width="13" style="26" bestFit="1" customWidth="1"/>
    <col min="784" max="784" width="1.42578125" style="26" customWidth="1"/>
    <col min="785" max="1024" width="9.140625" style="26"/>
    <col min="1025" max="1025" width="1.42578125" style="26" customWidth="1"/>
    <col min="1026" max="1026" width="15.28515625" style="26" customWidth="1"/>
    <col min="1027" max="1027" width="11" style="26" customWidth="1"/>
    <col min="1028" max="1028" width="12" style="26" customWidth="1"/>
    <col min="1029" max="1029" width="13.28515625" style="26" bestFit="1" customWidth="1"/>
    <col min="1030" max="1030" width="12.42578125" style="26" bestFit="1" customWidth="1"/>
    <col min="1031" max="1034" width="12" style="26" bestFit="1" customWidth="1"/>
    <col min="1035" max="1035" width="11.7109375" style="26" bestFit="1" customWidth="1"/>
    <col min="1036" max="1036" width="12.42578125" style="26" bestFit="1" customWidth="1"/>
    <col min="1037" max="1037" width="12.28515625" style="26" customWidth="1"/>
    <col min="1038" max="1038" width="12.7109375" style="26" bestFit="1" customWidth="1"/>
    <col min="1039" max="1039" width="13" style="26" bestFit="1" customWidth="1"/>
    <col min="1040" max="1040" width="1.42578125" style="26" customWidth="1"/>
    <col min="1041" max="1280" width="9.140625" style="26"/>
    <col min="1281" max="1281" width="1.42578125" style="26" customWidth="1"/>
    <col min="1282" max="1282" width="15.28515625" style="26" customWidth="1"/>
    <col min="1283" max="1283" width="11" style="26" customWidth="1"/>
    <col min="1284" max="1284" width="12" style="26" customWidth="1"/>
    <col min="1285" max="1285" width="13.28515625" style="26" bestFit="1" customWidth="1"/>
    <col min="1286" max="1286" width="12.42578125" style="26" bestFit="1" customWidth="1"/>
    <col min="1287" max="1290" width="12" style="26" bestFit="1" customWidth="1"/>
    <col min="1291" max="1291" width="11.7109375" style="26" bestFit="1" customWidth="1"/>
    <col min="1292" max="1292" width="12.42578125" style="26" bestFit="1" customWidth="1"/>
    <col min="1293" max="1293" width="12.28515625" style="26" customWidth="1"/>
    <col min="1294" max="1294" width="12.7109375" style="26" bestFit="1" customWidth="1"/>
    <col min="1295" max="1295" width="13" style="26" bestFit="1" customWidth="1"/>
    <col min="1296" max="1296" width="1.42578125" style="26" customWidth="1"/>
    <col min="1297" max="1536" width="9.140625" style="26"/>
    <col min="1537" max="1537" width="1.42578125" style="26" customWidth="1"/>
    <col min="1538" max="1538" width="15.28515625" style="26" customWidth="1"/>
    <col min="1539" max="1539" width="11" style="26" customWidth="1"/>
    <col min="1540" max="1540" width="12" style="26" customWidth="1"/>
    <col min="1541" max="1541" width="13.28515625" style="26" bestFit="1" customWidth="1"/>
    <col min="1542" max="1542" width="12.42578125" style="26" bestFit="1" customWidth="1"/>
    <col min="1543" max="1546" width="12" style="26" bestFit="1" customWidth="1"/>
    <col min="1547" max="1547" width="11.7109375" style="26" bestFit="1" customWidth="1"/>
    <col min="1548" max="1548" width="12.42578125" style="26" bestFit="1" customWidth="1"/>
    <col min="1549" max="1549" width="12.28515625" style="26" customWidth="1"/>
    <col min="1550" max="1550" width="12.7109375" style="26" bestFit="1" customWidth="1"/>
    <col min="1551" max="1551" width="13" style="26" bestFit="1" customWidth="1"/>
    <col min="1552" max="1552" width="1.42578125" style="26" customWidth="1"/>
    <col min="1553" max="1792" width="9.140625" style="26"/>
    <col min="1793" max="1793" width="1.42578125" style="26" customWidth="1"/>
    <col min="1794" max="1794" width="15.28515625" style="26" customWidth="1"/>
    <col min="1795" max="1795" width="11" style="26" customWidth="1"/>
    <col min="1796" max="1796" width="12" style="26" customWidth="1"/>
    <col min="1797" max="1797" width="13.28515625" style="26" bestFit="1" customWidth="1"/>
    <col min="1798" max="1798" width="12.42578125" style="26" bestFit="1" customWidth="1"/>
    <col min="1799" max="1802" width="12" style="26" bestFit="1" customWidth="1"/>
    <col min="1803" max="1803" width="11.7109375" style="26" bestFit="1" customWidth="1"/>
    <col min="1804" max="1804" width="12.42578125" style="26" bestFit="1" customWidth="1"/>
    <col min="1805" max="1805" width="12.28515625" style="26" customWidth="1"/>
    <col min="1806" max="1806" width="12.7109375" style="26" bestFit="1" customWidth="1"/>
    <col min="1807" max="1807" width="13" style="26" bestFit="1" customWidth="1"/>
    <col min="1808" max="1808" width="1.42578125" style="26" customWidth="1"/>
    <col min="1809" max="2048" width="9.140625" style="26"/>
    <col min="2049" max="2049" width="1.42578125" style="26" customWidth="1"/>
    <col min="2050" max="2050" width="15.28515625" style="26" customWidth="1"/>
    <col min="2051" max="2051" width="11" style="26" customWidth="1"/>
    <col min="2052" max="2052" width="12" style="26" customWidth="1"/>
    <col min="2053" max="2053" width="13.28515625" style="26" bestFit="1" customWidth="1"/>
    <col min="2054" max="2054" width="12.42578125" style="26" bestFit="1" customWidth="1"/>
    <col min="2055" max="2058" width="12" style="26" bestFit="1" customWidth="1"/>
    <col min="2059" max="2059" width="11.7109375" style="26" bestFit="1" customWidth="1"/>
    <col min="2060" max="2060" width="12.42578125" style="26" bestFit="1" customWidth="1"/>
    <col min="2061" max="2061" width="12.28515625" style="26" customWidth="1"/>
    <col min="2062" max="2062" width="12.7109375" style="26" bestFit="1" customWidth="1"/>
    <col min="2063" max="2063" width="13" style="26" bestFit="1" customWidth="1"/>
    <col min="2064" max="2064" width="1.42578125" style="26" customWidth="1"/>
    <col min="2065" max="2304" width="9.140625" style="26"/>
    <col min="2305" max="2305" width="1.42578125" style="26" customWidth="1"/>
    <col min="2306" max="2306" width="15.28515625" style="26" customWidth="1"/>
    <col min="2307" max="2307" width="11" style="26" customWidth="1"/>
    <col min="2308" max="2308" width="12" style="26" customWidth="1"/>
    <col min="2309" max="2309" width="13.28515625" style="26" bestFit="1" customWidth="1"/>
    <col min="2310" max="2310" width="12.42578125" style="26" bestFit="1" customWidth="1"/>
    <col min="2311" max="2314" width="12" style="26" bestFit="1" customWidth="1"/>
    <col min="2315" max="2315" width="11.7109375" style="26" bestFit="1" customWidth="1"/>
    <col min="2316" max="2316" width="12.42578125" style="26" bestFit="1" customWidth="1"/>
    <col min="2317" max="2317" width="12.28515625" style="26" customWidth="1"/>
    <col min="2318" max="2318" width="12.7109375" style="26" bestFit="1" customWidth="1"/>
    <col min="2319" max="2319" width="13" style="26" bestFit="1" customWidth="1"/>
    <col min="2320" max="2320" width="1.42578125" style="26" customWidth="1"/>
    <col min="2321" max="2560" width="9.140625" style="26"/>
    <col min="2561" max="2561" width="1.42578125" style="26" customWidth="1"/>
    <col min="2562" max="2562" width="15.28515625" style="26" customWidth="1"/>
    <col min="2563" max="2563" width="11" style="26" customWidth="1"/>
    <col min="2564" max="2564" width="12" style="26" customWidth="1"/>
    <col min="2565" max="2565" width="13.28515625" style="26" bestFit="1" customWidth="1"/>
    <col min="2566" max="2566" width="12.42578125" style="26" bestFit="1" customWidth="1"/>
    <col min="2567" max="2570" width="12" style="26" bestFit="1" customWidth="1"/>
    <col min="2571" max="2571" width="11.7109375" style="26" bestFit="1" customWidth="1"/>
    <col min="2572" max="2572" width="12.42578125" style="26" bestFit="1" customWidth="1"/>
    <col min="2573" max="2573" width="12.28515625" style="26" customWidth="1"/>
    <col min="2574" max="2574" width="12.7109375" style="26" bestFit="1" customWidth="1"/>
    <col min="2575" max="2575" width="13" style="26" bestFit="1" customWidth="1"/>
    <col min="2576" max="2576" width="1.42578125" style="26" customWidth="1"/>
    <col min="2577" max="2816" width="9.140625" style="26"/>
    <col min="2817" max="2817" width="1.42578125" style="26" customWidth="1"/>
    <col min="2818" max="2818" width="15.28515625" style="26" customWidth="1"/>
    <col min="2819" max="2819" width="11" style="26" customWidth="1"/>
    <col min="2820" max="2820" width="12" style="26" customWidth="1"/>
    <col min="2821" max="2821" width="13.28515625" style="26" bestFit="1" customWidth="1"/>
    <col min="2822" max="2822" width="12.42578125" style="26" bestFit="1" customWidth="1"/>
    <col min="2823" max="2826" width="12" style="26" bestFit="1" customWidth="1"/>
    <col min="2827" max="2827" width="11.7109375" style="26" bestFit="1" customWidth="1"/>
    <col min="2828" max="2828" width="12.42578125" style="26" bestFit="1" customWidth="1"/>
    <col min="2829" max="2829" width="12.28515625" style="26" customWidth="1"/>
    <col min="2830" max="2830" width="12.7109375" style="26" bestFit="1" customWidth="1"/>
    <col min="2831" max="2831" width="13" style="26" bestFit="1" customWidth="1"/>
    <col min="2832" max="2832" width="1.42578125" style="26" customWidth="1"/>
    <col min="2833" max="3072" width="9.140625" style="26"/>
    <col min="3073" max="3073" width="1.42578125" style="26" customWidth="1"/>
    <col min="3074" max="3074" width="15.28515625" style="26" customWidth="1"/>
    <col min="3075" max="3075" width="11" style="26" customWidth="1"/>
    <col min="3076" max="3076" width="12" style="26" customWidth="1"/>
    <col min="3077" max="3077" width="13.28515625" style="26" bestFit="1" customWidth="1"/>
    <col min="3078" max="3078" width="12.42578125" style="26" bestFit="1" customWidth="1"/>
    <col min="3079" max="3082" width="12" style="26" bestFit="1" customWidth="1"/>
    <col min="3083" max="3083" width="11.7109375" style="26" bestFit="1" customWidth="1"/>
    <col min="3084" max="3084" width="12.42578125" style="26" bestFit="1" customWidth="1"/>
    <col min="3085" max="3085" width="12.28515625" style="26" customWidth="1"/>
    <col min="3086" max="3086" width="12.7109375" style="26" bestFit="1" customWidth="1"/>
    <col min="3087" max="3087" width="13" style="26" bestFit="1" customWidth="1"/>
    <col min="3088" max="3088" width="1.42578125" style="26" customWidth="1"/>
    <col min="3089" max="3328" width="9.140625" style="26"/>
    <col min="3329" max="3329" width="1.42578125" style="26" customWidth="1"/>
    <col min="3330" max="3330" width="15.28515625" style="26" customWidth="1"/>
    <col min="3331" max="3331" width="11" style="26" customWidth="1"/>
    <col min="3332" max="3332" width="12" style="26" customWidth="1"/>
    <col min="3333" max="3333" width="13.28515625" style="26" bestFit="1" customWidth="1"/>
    <col min="3334" max="3334" width="12.42578125" style="26" bestFit="1" customWidth="1"/>
    <col min="3335" max="3338" width="12" style="26" bestFit="1" customWidth="1"/>
    <col min="3339" max="3339" width="11.7109375" style="26" bestFit="1" customWidth="1"/>
    <col min="3340" max="3340" width="12.42578125" style="26" bestFit="1" customWidth="1"/>
    <col min="3341" max="3341" width="12.28515625" style="26" customWidth="1"/>
    <col min="3342" max="3342" width="12.7109375" style="26" bestFit="1" customWidth="1"/>
    <col min="3343" max="3343" width="13" style="26" bestFit="1" customWidth="1"/>
    <col min="3344" max="3344" width="1.42578125" style="26" customWidth="1"/>
    <col min="3345" max="3584" width="9.140625" style="26"/>
    <col min="3585" max="3585" width="1.42578125" style="26" customWidth="1"/>
    <col min="3586" max="3586" width="15.28515625" style="26" customWidth="1"/>
    <col min="3587" max="3587" width="11" style="26" customWidth="1"/>
    <col min="3588" max="3588" width="12" style="26" customWidth="1"/>
    <col min="3589" max="3589" width="13.28515625" style="26" bestFit="1" customWidth="1"/>
    <col min="3590" max="3590" width="12.42578125" style="26" bestFit="1" customWidth="1"/>
    <col min="3591" max="3594" width="12" style="26" bestFit="1" customWidth="1"/>
    <col min="3595" max="3595" width="11.7109375" style="26" bestFit="1" customWidth="1"/>
    <col min="3596" max="3596" width="12.42578125" style="26" bestFit="1" customWidth="1"/>
    <col min="3597" max="3597" width="12.28515625" style="26" customWidth="1"/>
    <col min="3598" max="3598" width="12.7109375" style="26" bestFit="1" customWidth="1"/>
    <col min="3599" max="3599" width="13" style="26" bestFit="1" customWidth="1"/>
    <col min="3600" max="3600" width="1.42578125" style="26" customWidth="1"/>
    <col min="3601" max="3840" width="9.140625" style="26"/>
    <col min="3841" max="3841" width="1.42578125" style="26" customWidth="1"/>
    <col min="3842" max="3842" width="15.28515625" style="26" customWidth="1"/>
    <col min="3843" max="3843" width="11" style="26" customWidth="1"/>
    <col min="3844" max="3844" width="12" style="26" customWidth="1"/>
    <col min="3845" max="3845" width="13.28515625" style="26" bestFit="1" customWidth="1"/>
    <col min="3846" max="3846" width="12.42578125" style="26" bestFit="1" customWidth="1"/>
    <col min="3847" max="3850" width="12" style="26" bestFit="1" customWidth="1"/>
    <col min="3851" max="3851" width="11.7109375" style="26" bestFit="1" customWidth="1"/>
    <col min="3852" max="3852" width="12.42578125" style="26" bestFit="1" customWidth="1"/>
    <col min="3853" max="3853" width="12.28515625" style="26" customWidth="1"/>
    <col min="3854" max="3854" width="12.7109375" style="26" bestFit="1" customWidth="1"/>
    <col min="3855" max="3855" width="13" style="26" bestFit="1" customWidth="1"/>
    <col min="3856" max="3856" width="1.42578125" style="26" customWidth="1"/>
    <col min="3857" max="4096" width="9.140625" style="26"/>
    <col min="4097" max="4097" width="1.42578125" style="26" customWidth="1"/>
    <col min="4098" max="4098" width="15.28515625" style="26" customWidth="1"/>
    <col min="4099" max="4099" width="11" style="26" customWidth="1"/>
    <col min="4100" max="4100" width="12" style="26" customWidth="1"/>
    <col min="4101" max="4101" width="13.28515625" style="26" bestFit="1" customWidth="1"/>
    <col min="4102" max="4102" width="12.42578125" style="26" bestFit="1" customWidth="1"/>
    <col min="4103" max="4106" width="12" style="26" bestFit="1" customWidth="1"/>
    <col min="4107" max="4107" width="11.7109375" style="26" bestFit="1" customWidth="1"/>
    <col min="4108" max="4108" width="12.42578125" style="26" bestFit="1" customWidth="1"/>
    <col min="4109" max="4109" width="12.28515625" style="26" customWidth="1"/>
    <col min="4110" max="4110" width="12.7109375" style="26" bestFit="1" customWidth="1"/>
    <col min="4111" max="4111" width="13" style="26" bestFit="1" customWidth="1"/>
    <col min="4112" max="4112" width="1.42578125" style="26" customWidth="1"/>
    <col min="4113" max="4352" width="9.140625" style="26"/>
    <col min="4353" max="4353" width="1.42578125" style="26" customWidth="1"/>
    <col min="4354" max="4354" width="15.28515625" style="26" customWidth="1"/>
    <col min="4355" max="4355" width="11" style="26" customWidth="1"/>
    <col min="4356" max="4356" width="12" style="26" customWidth="1"/>
    <col min="4357" max="4357" width="13.28515625" style="26" bestFit="1" customWidth="1"/>
    <col min="4358" max="4358" width="12.42578125" style="26" bestFit="1" customWidth="1"/>
    <col min="4359" max="4362" width="12" style="26" bestFit="1" customWidth="1"/>
    <col min="4363" max="4363" width="11.7109375" style="26" bestFit="1" customWidth="1"/>
    <col min="4364" max="4364" width="12.42578125" style="26" bestFit="1" customWidth="1"/>
    <col min="4365" max="4365" width="12.28515625" style="26" customWidth="1"/>
    <col min="4366" max="4366" width="12.7109375" style="26" bestFit="1" customWidth="1"/>
    <col min="4367" max="4367" width="13" style="26" bestFit="1" customWidth="1"/>
    <col min="4368" max="4368" width="1.42578125" style="26" customWidth="1"/>
    <col min="4369" max="4608" width="9.140625" style="26"/>
    <col min="4609" max="4609" width="1.42578125" style="26" customWidth="1"/>
    <col min="4610" max="4610" width="15.28515625" style="26" customWidth="1"/>
    <col min="4611" max="4611" width="11" style="26" customWidth="1"/>
    <col min="4612" max="4612" width="12" style="26" customWidth="1"/>
    <col min="4613" max="4613" width="13.28515625" style="26" bestFit="1" customWidth="1"/>
    <col min="4614" max="4614" width="12.42578125" style="26" bestFit="1" customWidth="1"/>
    <col min="4615" max="4618" width="12" style="26" bestFit="1" customWidth="1"/>
    <col min="4619" max="4619" width="11.7109375" style="26" bestFit="1" customWidth="1"/>
    <col min="4620" max="4620" width="12.42578125" style="26" bestFit="1" customWidth="1"/>
    <col min="4621" max="4621" width="12.28515625" style="26" customWidth="1"/>
    <col min="4622" max="4622" width="12.7109375" style="26" bestFit="1" customWidth="1"/>
    <col min="4623" max="4623" width="13" style="26" bestFit="1" customWidth="1"/>
    <col min="4624" max="4624" width="1.42578125" style="26" customWidth="1"/>
    <col min="4625" max="4864" width="9.140625" style="26"/>
    <col min="4865" max="4865" width="1.42578125" style="26" customWidth="1"/>
    <col min="4866" max="4866" width="15.28515625" style="26" customWidth="1"/>
    <col min="4867" max="4867" width="11" style="26" customWidth="1"/>
    <col min="4868" max="4868" width="12" style="26" customWidth="1"/>
    <col min="4869" max="4869" width="13.28515625" style="26" bestFit="1" customWidth="1"/>
    <col min="4870" max="4870" width="12.42578125" style="26" bestFit="1" customWidth="1"/>
    <col min="4871" max="4874" width="12" style="26" bestFit="1" customWidth="1"/>
    <col min="4875" max="4875" width="11.7109375" style="26" bestFit="1" customWidth="1"/>
    <col min="4876" max="4876" width="12.42578125" style="26" bestFit="1" customWidth="1"/>
    <col min="4877" max="4877" width="12.28515625" style="26" customWidth="1"/>
    <col min="4878" max="4878" width="12.7109375" style="26" bestFit="1" customWidth="1"/>
    <col min="4879" max="4879" width="13" style="26" bestFit="1" customWidth="1"/>
    <col min="4880" max="4880" width="1.42578125" style="26" customWidth="1"/>
    <col min="4881" max="5120" width="9.140625" style="26"/>
    <col min="5121" max="5121" width="1.42578125" style="26" customWidth="1"/>
    <col min="5122" max="5122" width="15.28515625" style="26" customWidth="1"/>
    <col min="5123" max="5123" width="11" style="26" customWidth="1"/>
    <col min="5124" max="5124" width="12" style="26" customWidth="1"/>
    <col min="5125" max="5125" width="13.28515625" style="26" bestFit="1" customWidth="1"/>
    <col min="5126" max="5126" width="12.42578125" style="26" bestFit="1" customWidth="1"/>
    <col min="5127" max="5130" width="12" style="26" bestFit="1" customWidth="1"/>
    <col min="5131" max="5131" width="11.7109375" style="26" bestFit="1" customWidth="1"/>
    <col min="5132" max="5132" width="12.42578125" style="26" bestFit="1" customWidth="1"/>
    <col min="5133" max="5133" width="12.28515625" style="26" customWidth="1"/>
    <col min="5134" max="5134" width="12.7109375" style="26" bestFit="1" customWidth="1"/>
    <col min="5135" max="5135" width="13" style="26" bestFit="1" customWidth="1"/>
    <col min="5136" max="5136" width="1.42578125" style="26" customWidth="1"/>
    <col min="5137" max="5376" width="9.140625" style="26"/>
    <col min="5377" max="5377" width="1.42578125" style="26" customWidth="1"/>
    <col min="5378" max="5378" width="15.28515625" style="26" customWidth="1"/>
    <col min="5379" max="5379" width="11" style="26" customWidth="1"/>
    <col min="5380" max="5380" width="12" style="26" customWidth="1"/>
    <col min="5381" max="5381" width="13.28515625" style="26" bestFit="1" customWidth="1"/>
    <col min="5382" max="5382" width="12.42578125" style="26" bestFit="1" customWidth="1"/>
    <col min="5383" max="5386" width="12" style="26" bestFit="1" customWidth="1"/>
    <col min="5387" max="5387" width="11.7109375" style="26" bestFit="1" customWidth="1"/>
    <col min="5388" max="5388" width="12.42578125" style="26" bestFit="1" customWidth="1"/>
    <col min="5389" max="5389" width="12.28515625" style="26" customWidth="1"/>
    <col min="5390" max="5390" width="12.7109375" style="26" bestFit="1" customWidth="1"/>
    <col min="5391" max="5391" width="13" style="26" bestFit="1" customWidth="1"/>
    <col min="5392" max="5392" width="1.42578125" style="26" customWidth="1"/>
    <col min="5393" max="5632" width="9.140625" style="26"/>
    <col min="5633" max="5633" width="1.42578125" style="26" customWidth="1"/>
    <col min="5634" max="5634" width="15.28515625" style="26" customWidth="1"/>
    <col min="5635" max="5635" width="11" style="26" customWidth="1"/>
    <col min="5636" max="5636" width="12" style="26" customWidth="1"/>
    <col min="5637" max="5637" width="13.28515625" style="26" bestFit="1" customWidth="1"/>
    <col min="5638" max="5638" width="12.42578125" style="26" bestFit="1" customWidth="1"/>
    <col min="5639" max="5642" width="12" style="26" bestFit="1" customWidth="1"/>
    <col min="5643" max="5643" width="11.7109375" style="26" bestFit="1" customWidth="1"/>
    <col min="5644" max="5644" width="12.42578125" style="26" bestFit="1" customWidth="1"/>
    <col min="5645" max="5645" width="12.28515625" style="26" customWidth="1"/>
    <col min="5646" max="5646" width="12.7109375" style="26" bestFit="1" customWidth="1"/>
    <col min="5647" max="5647" width="13" style="26" bestFit="1" customWidth="1"/>
    <col min="5648" max="5648" width="1.42578125" style="26" customWidth="1"/>
    <col min="5649" max="5888" width="9.140625" style="26"/>
    <col min="5889" max="5889" width="1.42578125" style="26" customWidth="1"/>
    <col min="5890" max="5890" width="15.28515625" style="26" customWidth="1"/>
    <col min="5891" max="5891" width="11" style="26" customWidth="1"/>
    <col min="5892" max="5892" width="12" style="26" customWidth="1"/>
    <col min="5893" max="5893" width="13.28515625" style="26" bestFit="1" customWidth="1"/>
    <col min="5894" max="5894" width="12.42578125" style="26" bestFit="1" customWidth="1"/>
    <col min="5895" max="5898" width="12" style="26" bestFit="1" customWidth="1"/>
    <col min="5899" max="5899" width="11.7109375" style="26" bestFit="1" customWidth="1"/>
    <col min="5900" max="5900" width="12.42578125" style="26" bestFit="1" customWidth="1"/>
    <col min="5901" max="5901" width="12.28515625" style="26" customWidth="1"/>
    <col min="5902" max="5902" width="12.7109375" style="26" bestFit="1" customWidth="1"/>
    <col min="5903" max="5903" width="13" style="26" bestFit="1" customWidth="1"/>
    <col min="5904" max="5904" width="1.42578125" style="26" customWidth="1"/>
    <col min="5905" max="6144" width="9.140625" style="26"/>
    <col min="6145" max="6145" width="1.42578125" style="26" customWidth="1"/>
    <col min="6146" max="6146" width="15.28515625" style="26" customWidth="1"/>
    <col min="6147" max="6147" width="11" style="26" customWidth="1"/>
    <col min="6148" max="6148" width="12" style="26" customWidth="1"/>
    <col min="6149" max="6149" width="13.28515625" style="26" bestFit="1" customWidth="1"/>
    <col min="6150" max="6150" width="12.42578125" style="26" bestFit="1" customWidth="1"/>
    <col min="6151" max="6154" width="12" style="26" bestFit="1" customWidth="1"/>
    <col min="6155" max="6155" width="11.7109375" style="26" bestFit="1" customWidth="1"/>
    <col min="6156" max="6156" width="12.42578125" style="26" bestFit="1" customWidth="1"/>
    <col min="6157" max="6157" width="12.28515625" style="26" customWidth="1"/>
    <col min="6158" max="6158" width="12.7109375" style="26" bestFit="1" customWidth="1"/>
    <col min="6159" max="6159" width="13" style="26" bestFit="1" customWidth="1"/>
    <col min="6160" max="6160" width="1.42578125" style="26" customWidth="1"/>
    <col min="6161" max="6400" width="9.140625" style="26"/>
    <col min="6401" max="6401" width="1.42578125" style="26" customWidth="1"/>
    <col min="6402" max="6402" width="15.28515625" style="26" customWidth="1"/>
    <col min="6403" max="6403" width="11" style="26" customWidth="1"/>
    <col min="6404" max="6404" width="12" style="26" customWidth="1"/>
    <col min="6405" max="6405" width="13.28515625" style="26" bestFit="1" customWidth="1"/>
    <col min="6406" max="6406" width="12.42578125" style="26" bestFit="1" customWidth="1"/>
    <col min="6407" max="6410" width="12" style="26" bestFit="1" customWidth="1"/>
    <col min="6411" max="6411" width="11.7109375" style="26" bestFit="1" customWidth="1"/>
    <col min="6412" max="6412" width="12.42578125" style="26" bestFit="1" customWidth="1"/>
    <col min="6413" max="6413" width="12.28515625" style="26" customWidth="1"/>
    <col min="6414" max="6414" width="12.7109375" style="26" bestFit="1" customWidth="1"/>
    <col min="6415" max="6415" width="13" style="26" bestFit="1" customWidth="1"/>
    <col min="6416" max="6416" width="1.42578125" style="26" customWidth="1"/>
    <col min="6417" max="6656" width="9.140625" style="26"/>
    <col min="6657" max="6657" width="1.42578125" style="26" customWidth="1"/>
    <col min="6658" max="6658" width="15.28515625" style="26" customWidth="1"/>
    <col min="6659" max="6659" width="11" style="26" customWidth="1"/>
    <col min="6660" max="6660" width="12" style="26" customWidth="1"/>
    <col min="6661" max="6661" width="13.28515625" style="26" bestFit="1" customWidth="1"/>
    <col min="6662" max="6662" width="12.42578125" style="26" bestFit="1" customWidth="1"/>
    <col min="6663" max="6666" width="12" style="26" bestFit="1" customWidth="1"/>
    <col min="6667" max="6667" width="11.7109375" style="26" bestFit="1" customWidth="1"/>
    <col min="6668" max="6668" width="12.42578125" style="26" bestFit="1" customWidth="1"/>
    <col min="6669" max="6669" width="12.28515625" style="26" customWidth="1"/>
    <col min="6670" max="6670" width="12.7109375" style="26" bestFit="1" customWidth="1"/>
    <col min="6671" max="6671" width="13" style="26" bestFit="1" customWidth="1"/>
    <col min="6672" max="6672" width="1.42578125" style="26" customWidth="1"/>
    <col min="6673" max="6912" width="9.140625" style="26"/>
    <col min="6913" max="6913" width="1.42578125" style="26" customWidth="1"/>
    <col min="6914" max="6914" width="15.28515625" style="26" customWidth="1"/>
    <col min="6915" max="6915" width="11" style="26" customWidth="1"/>
    <col min="6916" max="6916" width="12" style="26" customWidth="1"/>
    <col min="6917" max="6917" width="13.28515625" style="26" bestFit="1" customWidth="1"/>
    <col min="6918" max="6918" width="12.42578125" style="26" bestFit="1" customWidth="1"/>
    <col min="6919" max="6922" width="12" style="26" bestFit="1" customWidth="1"/>
    <col min="6923" max="6923" width="11.7109375" style="26" bestFit="1" customWidth="1"/>
    <col min="6924" max="6924" width="12.42578125" style="26" bestFit="1" customWidth="1"/>
    <col min="6925" max="6925" width="12.28515625" style="26" customWidth="1"/>
    <col min="6926" max="6926" width="12.7109375" style="26" bestFit="1" customWidth="1"/>
    <col min="6927" max="6927" width="13" style="26" bestFit="1" customWidth="1"/>
    <col min="6928" max="6928" width="1.42578125" style="26" customWidth="1"/>
    <col min="6929" max="7168" width="9.140625" style="26"/>
    <col min="7169" max="7169" width="1.42578125" style="26" customWidth="1"/>
    <col min="7170" max="7170" width="15.28515625" style="26" customWidth="1"/>
    <col min="7171" max="7171" width="11" style="26" customWidth="1"/>
    <col min="7172" max="7172" width="12" style="26" customWidth="1"/>
    <col min="7173" max="7173" width="13.28515625" style="26" bestFit="1" customWidth="1"/>
    <col min="7174" max="7174" width="12.42578125" style="26" bestFit="1" customWidth="1"/>
    <col min="7175" max="7178" width="12" style="26" bestFit="1" customWidth="1"/>
    <col min="7179" max="7179" width="11.7109375" style="26" bestFit="1" customWidth="1"/>
    <col min="7180" max="7180" width="12.42578125" style="26" bestFit="1" customWidth="1"/>
    <col min="7181" max="7181" width="12.28515625" style="26" customWidth="1"/>
    <col min="7182" max="7182" width="12.7109375" style="26" bestFit="1" customWidth="1"/>
    <col min="7183" max="7183" width="13" style="26" bestFit="1" customWidth="1"/>
    <col min="7184" max="7184" width="1.42578125" style="26" customWidth="1"/>
    <col min="7185" max="7424" width="9.140625" style="26"/>
    <col min="7425" max="7425" width="1.42578125" style="26" customWidth="1"/>
    <col min="7426" max="7426" width="15.28515625" style="26" customWidth="1"/>
    <col min="7427" max="7427" width="11" style="26" customWidth="1"/>
    <col min="7428" max="7428" width="12" style="26" customWidth="1"/>
    <col min="7429" max="7429" width="13.28515625" style="26" bestFit="1" customWidth="1"/>
    <col min="7430" max="7430" width="12.42578125" style="26" bestFit="1" customWidth="1"/>
    <col min="7431" max="7434" width="12" style="26" bestFit="1" customWidth="1"/>
    <col min="7435" max="7435" width="11.7109375" style="26" bestFit="1" customWidth="1"/>
    <col min="7436" max="7436" width="12.42578125" style="26" bestFit="1" customWidth="1"/>
    <col min="7437" max="7437" width="12.28515625" style="26" customWidth="1"/>
    <col min="7438" max="7438" width="12.7109375" style="26" bestFit="1" customWidth="1"/>
    <col min="7439" max="7439" width="13" style="26" bestFit="1" customWidth="1"/>
    <col min="7440" max="7440" width="1.42578125" style="26" customWidth="1"/>
    <col min="7441" max="7680" width="9.140625" style="26"/>
    <col min="7681" max="7681" width="1.42578125" style="26" customWidth="1"/>
    <col min="7682" max="7682" width="15.28515625" style="26" customWidth="1"/>
    <col min="7683" max="7683" width="11" style="26" customWidth="1"/>
    <col min="7684" max="7684" width="12" style="26" customWidth="1"/>
    <col min="7685" max="7685" width="13.28515625" style="26" bestFit="1" customWidth="1"/>
    <col min="7686" max="7686" width="12.42578125" style="26" bestFit="1" customWidth="1"/>
    <col min="7687" max="7690" width="12" style="26" bestFit="1" customWidth="1"/>
    <col min="7691" max="7691" width="11.7109375" style="26" bestFit="1" customWidth="1"/>
    <col min="7692" max="7692" width="12.42578125" style="26" bestFit="1" customWidth="1"/>
    <col min="7693" max="7693" width="12.28515625" style="26" customWidth="1"/>
    <col min="7694" max="7694" width="12.7109375" style="26" bestFit="1" customWidth="1"/>
    <col min="7695" max="7695" width="13" style="26" bestFit="1" customWidth="1"/>
    <col min="7696" max="7696" width="1.42578125" style="26" customWidth="1"/>
    <col min="7697" max="7936" width="9.140625" style="26"/>
    <col min="7937" max="7937" width="1.42578125" style="26" customWidth="1"/>
    <col min="7938" max="7938" width="15.28515625" style="26" customWidth="1"/>
    <col min="7939" max="7939" width="11" style="26" customWidth="1"/>
    <col min="7940" max="7940" width="12" style="26" customWidth="1"/>
    <col min="7941" max="7941" width="13.28515625" style="26" bestFit="1" customWidth="1"/>
    <col min="7942" max="7942" width="12.42578125" style="26" bestFit="1" customWidth="1"/>
    <col min="7943" max="7946" width="12" style="26" bestFit="1" customWidth="1"/>
    <col min="7947" max="7947" width="11.7109375" style="26" bestFit="1" customWidth="1"/>
    <col min="7948" max="7948" width="12.42578125" style="26" bestFit="1" customWidth="1"/>
    <col min="7949" max="7949" width="12.28515625" style="26" customWidth="1"/>
    <col min="7950" max="7950" width="12.7109375" style="26" bestFit="1" customWidth="1"/>
    <col min="7951" max="7951" width="13" style="26" bestFit="1" customWidth="1"/>
    <col min="7952" max="7952" width="1.42578125" style="26" customWidth="1"/>
    <col min="7953" max="8192" width="9.140625" style="26"/>
    <col min="8193" max="8193" width="1.42578125" style="26" customWidth="1"/>
    <col min="8194" max="8194" width="15.28515625" style="26" customWidth="1"/>
    <col min="8195" max="8195" width="11" style="26" customWidth="1"/>
    <col min="8196" max="8196" width="12" style="26" customWidth="1"/>
    <col min="8197" max="8197" width="13.28515625" style="26" bestFit="1" customWidth="1"/>
    <col min="8198" max="8198" width="12.42578125" style="26" bestFit="1" customWidth="1"/>
    <col min="8199" max="8202" width="12" style="26" bestFit="1" customWidth="1"/>
    <col min="8203" max="8203" width="11.7109375" style="26" bestFit="1" customWidth="1"/>
    <col min="8204" max="8204" width="12.42578125" style="26" bestFit="1" customWidth="1"/>
    <col min="8205" max="8205" width="12.28515625" style="26" customWidth="1"/>
    <col min="8206" max="8206" width="12.7109375" style="26" bestFit="1" customWidth="1"/>
    <col min="8207" max="8207" width="13" style="26" bestFit="1" customWidth="1"/>
    <col min="8208" max="8208" width="1.42578125" style="26" customWidth="1"/>
    <col min="8209" max="8448" width="9.140625" style="26"/>
    <col min="8449" max="8449" width="1.42578125" style="26" customWidth="1"/>
    <col min="8450" max="8450" width="15.28515625" style="26" customWidth="1"/>
    <col min="8451" max="8451" width="11" style="26" customWidth="1"/>
    <col min="8452" max="8452" width="12" style="26" customWidth="1"/>
    <col min="8453" max="8453" width="13.28515625" style="26" bestFit="1" customWidth="1"/>
    <col min="8454" max="8454" width="12.42578125" style="26" bestFit="1" customWidth="1"/>
    <col min="8455" max="8458" width="12" style="26" bestFit="1" customWidth="1"/>
    <col min="8459" max="8459" width="11.7109375" style="26" bestFit="1" customWidth="1"/>
    <col min="8460" max="8460" width="12.42578125" style="26" bestFit="1" customWidth="1"/>
    <col min="8461" max="8461" width="12.28515625" style="26" customWidth="1"/>
    <col min="8462" max="8462" width="12.7109375" style="26" bestFit="1" customWidth="1"/>
    <col min="8463" max="8463" width="13" style="26" bestFit="1" customWidth="1"/>
    <col min="8464" max="8464" width="1.42578125" style="26" customWidth="1"/>
    <col min="8465" max="8704" width="9.140625" style="26"/>
    <col min="8705" max="8705" width="1.42578125" style="26" customWidth="1"/>
    <col min="8706" max="8706" width="15.28515625" style="26" customWidth="1"/>
    <col min="8707" max="8707" width="11" style="26" customWidth="1"/>
    <col min="8708" max="8708" width="12" style="26" customWidth="1"/>
    <col min="8709" max="8709" width="13.28515625" style="26" bestFit="1" customWidth="1"/>
    <col min="8710" max="8710" width="12.42578125" style="26" bestFit="1" customWidth="1"/>
    <col min="8711" max="8714" width="12" style="26" bestFit="1" customWidth="1"/>
    <col min="8715" max="8715" width="11.7109375" style="26" bestFit="1" customWidth="1"/>
    <col min="8716" max="8716" width="12.42578125" style="26" bestFit="1" customWidth="1"/>
    <col min="8717" max="8717" width="12.28515625" style="26" customWidth="1"/>
    <col min="8718" max="8718" width="12.7109375" style="26" bestFit="1" customWidth="1"/>
    <col min="8719" max="8719" width="13" style="26" bestFit="1" customWidth="1"/>
    <col min="8720" max="8720" width="1.42578125" style="26" customWidth="1"/>
    <col min="8721" max="8960" width="9.140625" style="26"/>
    <col min="8961" max="8961" width="1.42578125" style="26" customWidth="1"/>
    <col min="8962" max="8962" width="15.28515625" style="26" customWidth="1"/>
    <col min="8963" max="8963" width="11" style="26" customWidth="1"/>
    <col min="8964" max="8964" width="12" style="26" customWidth="1"/>
    <col min="8965" max="8965" width="13.28515625" style="26" bestFit="1" customWidth="1"/>
    <col min="8966" max="8966" width="12.42578125" style="26" bestFit="1" customWidth="1"/>
    <col min="8967" max="8970" width="12" style="26" bestFit="1" customWidth="1"/>
    <col min="8971" max="8971" width="11.7109375" style="26" bestFit="1" customWidth="1"/>
    <col min="8972" max="8972" width="12.42578125" style="26" bestFit="1" customWidth="1"/>
    <col min="8973" max="8973" width="12.28515625" style="26" customWidth="1"/>
    <col min="8974" max="8974" width="12.7109375" style="26" bestFit="1" customWidth="1"/>
    <col min="8975" max="8975" width="13" style="26" bestFit="1" customWidth="1"/>
    <col min="8976" max="8976" width="1.42578125" style="26" customWidth="1"/>
    <col min="8977" max="9216" width="9.140625" style="26"/>
    <col min="9217" max="9217" width="1.42578125" style="26" customWidth="1"/>
    <col min="9218" max="9218" width="15.28515625" style="26" customWidth="1"/>
    <col min="9219" max="9219" width="11" style="26" customWidth="1"/>
    <col min="9220" max="9220" width="12" style="26" customWidth="1"/>
    <col min="9221" max="9221" width="13.28515625" style="26" bestFit="1" customWidth="1"/>
    <col min="9222" max="9222" width="12.42578125" style="26" bestFit="1" customWidth="1"/>
    <col min="9223" max="9226" width="12" style="26" bestFit="1" customWidth="1"/>
    <col min="9227" max="9227" width="11.7109375" style="26" bestFit="1" customWidth="1"/>
    <col min="9228" max="9228" width="12.42578125" style="26" bestFit="1" customWidth="1"/>
    <col min="9229" max="9229" width="12.28515625" style="26" customWidth="1"/>
    <col min="9230" max="9230" width="12.7109375" style="26" bestFit="1" customWidth="1"/>
    <col min="9231" max="9231" width="13" style="26" bestFit="1" customWidth="1"/>
    <col min="9232" max="9232" width="1.42578125" style="26" customWidth="1"/>
    <col min="9233" max="9472" width="9.140625" style="26"/>
    <col min="9473" max="9473" width="1.42578125" style="26" customWidth="1"/>
    <col min="9474" max="9474" width="15.28515625" style="26" customWidth="1"/>
    <col min="9475" max="9475" width="11" style="26" customWidth="1"/>
    <col min="9476" max="9476" width="12" style="26" customWidth="1"/>
    <col min="9477" max="9477" width="13.28515625" style="26" bestFit="1" customWidth="1"/>
    <col min="9478" max="9478" width="12.42578125" style="26" bestFit="1" customWidth="1"/>
    <col min="9479" max="9482" width="12" style="26" bestFit="1" customWidth="1"/>
    <col min="9483" max="9483" width="11.7109375" style="26" bestFit="1" customWidth="1"/>
    <col min="9484" max="9484" width="12.42578125" style="26" bestFit="1" customWidth="1"/>
    <col min="9485" max="9485" width="12.28515625" style="26" customWidth="1"/>
    <col min="9486" max="9486" width="12.7109375" style="26" bestFit="1" customWidth="1"/>
    <col min="9487" max="9487" width="13" style="26" bestFit="1" customWidth="1"/>
    <col min="9488" max="9488" width="1.42578125" style="26" customWidth="1"/>
    <col min="9489" max="9728" width="9.140625" style="26"/>
    <col min="9729" max="9729" width="1.42578125" style="26" customWidth="1"/>
    <col min="9730" max="9730" width="15.28515625" style="26" customWidth="1"/>
    <col min="9731" max="9731" width="11" style="26" customWidth="1"/>
    <col min="9732" max="9732" width="12" style="26" customWidth="1"/>
    <col min="9733" max="9733" width="13.28515625" style="26" bestFit="1" customWidth="1"/>
    <col min="9734" max="9734" width="12.42578125" style="26" bestFit="1" customWidth="1"/>
    <col min="9735" max="9738" width="12" style="26" bestFit="1" customWidth="1"/>
    <col min="9739" max="9739" width="11.7109375" style="26" bestFit="1" customWidth="1"/>
    <col min="9740" max="9740" width="12.42578125" style="26" bestFit="1" customWidth="1"/>
    <col min="9741" max="9741" width="12.28515625" style="26" customWidth="1"/>
    <col min="9742" max="9742" width="12.7109375" style="26" bestFit="1" customWidth="1"/>
    <col min="9743" max="9743" width="13" style="26" bestFit="1" customWidth="1"/>
    <col min="9744" max="9744" width="1.42578125" style="26" customWidth="1"/>
    <col min="9745" max="9984" width="9.140625" style="26"/>
    <col min="9985" max="9985" width="1.42578125" style="26" customWidth="1"/>
    <col min="9986" max="9986" width="15.28515625" style="26" customWidth="1"/>
    <col min="9987" max="9987" width="11" style="26" customWidth="1"/>
    <col min="9988" max="9988" width="12" style="26" customWidth="1"/>
    <col min="9989" max="9989" width="13.28515625" style="26" bestFit="1" customWidth="1"/>
    <col min="9990" max="9990" width="12.42578125" style="26" bestFit="1" customWidth="1"/>
    <col min="9991" max="9994" width="12" style="26" bestFit="1" customWidth="1"/>
    <col min="9995" max="9995" width="11.7109375" style="26" bestFit="1" customWidth="1"/>
    <col min="9996" max="9996" width="12.42578125" style="26" bestFit="1" customWidth="1"/>
    <col min="9997" max="9997" width="12.28515625" style="26" customWidth="1"/>
    <col min="9998" max="9998" width="12.7109375" style="26" bestFit="1" customWidth="1"/>
    <col min="9999" max="9999" width="13" style="26" bestFit="1" customWidth="1"/>
    <col min="10000" max="10000" width="1.42578125" style="26" customWidth="1"/>
    <col min="10001" max="10240" width="9.140625" style="26"/>
    <col min="10241" max="10241" width="1.42578125" style="26" customWidth="1"/>
    <col min="10242" max="10242" width="15.28515625" style="26" customWidth="1"/>
    <col min="10243" max="10243" width="11" style="26" customWidth="1"/>
    <col min="10244" max="10244" width="12" style="26" customWidth="1"/>
    <col min="10245" max="10245" width="13.28515625" style="26" bestFit="1" customWidth="1"/>
    <col min="10246" max="10246" width="12.42578125" style="26" bestFit="1" customWidth="1"/>
    <col min="10247" max="10250" width="12" style="26" bestFit="1" customWidth="1"/>
    <col min="10251" max="10251" width="11.7109375" style="26" bestFit="1" customWidth="1"/>
    <col min="10252" max="10252" width="12.42578125" style="26" bestFit="1" customWidth="1"/>
    <col min="10253" max="10253" width="12.28515625" style="26" customWidth="1"/>
    <col min="10254" max="10254" width="12.7109375" style="26" bestFit="1" customWidth="1"/>
    <col min="10255" max="10255" width="13" style="26" bestFit="1" customWidth="1"/>
    <col min="10256" max="10256" width="1.42578125" style="26" customWidth="1"/>
    <col min="10257" max="10496" width="9.140625" style="26"/>
    <col min="10497" max="10497" width="1.42578125" style="26" customWidth="1"/>
    <col min="10498" max="10498" width="15.28515625" style="26" customWidth="1"/>
    <col min="10499" max="10499" width="11" style="26" customWidth="1"/>
    <col min="10500" max="10500" width="12" style="26" customWidth="1"/>
    <col min="10501" max="10501" width="13.28515625" style="26" bestFit="1" customWidth="1"/>
    <col min="10502" max="10502" width="12.42578125" style="26" bestFit="1" customWidth="1"/>
    <col min="10503" max="10506" width="12" style="26" bestFit="1" customWidth="1"/>
    <col min="10507" max="10507" width="11.7109375" style="26" bestFit="1" customWidth="1"/>
    <col min="10508" max="10508" width="12.42578125" style="26" bestFit="1" customWidth="1"/>
    <col min="10509" max="10509" width="12.28515625" style="26" customWidth="1"/>
    <col min="10510" max="10510" width="12.7109375" style="26" bestFit="1" customWidth="1"/>
    <col min="10511" max="10511" width="13" style="26" bestFit="1" customWidth="1"/>
    <col min="10512" max="10512" width="1.42578125" style="26" customWidth="1"/>
    <col min="10513" max="10752" width="9.140625" style="26"/>
    <col min="10753" max="10753" width="1.42578125" style="26" customWidth="1"/>
    <col min="10754" max="10754" width="15.28515625" style="26" customWidth="1"/>
    <col min="10755" max="10755" width="11" style="26" customWidth="1"/>
    <col min="10756" max="10756" width="12" style="26" customWidth="1"/>
    <col min="10757" max="10757" width="13.28515625" style="26" bestFit="1" customWidth="1"/>
    <col min="10758" max="10758" width="12.42578125" style="26" bestFit="1" customWidth="1"/>
    <col min="10759" max="10762" width="12" style="26" bestFit="1" customWidth="1"/>
    <col min="10763" max="10763" width="11.7109375" style="26" bestFit="1" customWidth="1"/>
    <col min="10764" max="10764" width="12.42578125" style="26" bestFit="1" customWidth="1"/>
    <col min="10765" max="10765" width="12.28515625" style="26" customWidth="1"/>
    <col min="10766" max="10766" width="12.7109375" style="26" bestFit="1" customWidth="1"/>
    <col min="10767" max="10767" width="13" style="26" bestFit="1" customWidth="1"/>
    <col min="10768" max="10768" width="1.42578125" style="26" customWidth="1"/>
    <col min="10769" max="11008" width="9.140625" style="26"/>
    <col min="11009" max="11009" width="1.42578125" style="26" customWidth="1"/>
    <col min="11010" max="11010" width="15.28515625" style="26" customWidth="1"/>
    <col min="11011" max="11011" width="11" style="26" customWidth="1"/>
    <col min="11012" max="11012" width="12" style="26" customWidth="1"/>
    <col min="11013" max="11013" width="13.28515625" style="26" bestFit="1" customWidth="1"/>
    <col min="11014" max="11014" width="12.42578125" style="26" bestFit="1" customWidth="1"/>
    <col min="11015" max="11018" width="12" style="26" bestFit="1" customWidth="1"/>
    <col min="11019" max="11019" width="11.7109375" style="26" bestFit="1" customWidth="1"/>
    <col min="11020" max="11020" width="12.42578125" style="26" bestFit="1" customWidth="1"/>
    <col min="11021" max="11021" width="12.28515625" style="26" customWidth="1"/>
    <col min="11022" max="11022" width="12.7109375" style="26" bestFit="1" customWidth="1"/>
    <col min="11023" max="11023" width="13" style="26" bestFit="1" customWidth="1"/>
    <col min="11024" max="11024" width="1.42578125" style="26" customWidth="1"/>
    <col min="11025" max="11264" width="9.140625" style="26"/>
    <col min="11265" max="11265" width="1.42578125" style="26" customWidth="1"/>
    <col min="11266" max="11266" width="15.28515625" style="26" customWidth="1"/>
    <col min="11267" max="11267" width="11" style="26" customWidth="1"/>
    <col min="11268" max="11268" width="12" style="26" customWidth="1"/>
    <col min="11269" max="11269" width="13.28515625" style="26" bestFit="1" customWidth="1"/>
    <col min="11270" max="11270" width="12.42578125" style="26" bestFit="1" customWidth="1"/>
    <col min="11271" max="11274" width="12" style="26" bestFit="1" customWidth="1"/>
    <col min="11275" max="11275" width="11.7109375" style="26" bestFit="1" customWidth="1"/>
    <col min="11276" max="11276" width="12.42578125" style="26" bestFit="1" customWidth="1"/>
    <col min="11277" max="11277" width="12.28515625" style="26" customWidth="1"/>
    <col min="11278" max="11278" width="12.7109375" style="26" bestFit="1" customWidth="1"/>
    <col min="11279" max="11279" width="13" style="26" bestFit="1" customWidth="1"/>
    <col min="11280" max="11280" width="1.42578125" style="26" customWidth="1"/>
    <col min="11281" max="11520" width="9.140625" style="26"/>
    <col min="11521" max="11521" width="1.42578125" style="26" customWidth="1"/>
    <col min="11522" max="11522" width="15.28515625" style="26" customWidth="1"/>
    <col min="11523" max="11523" width="11" style="26" customWidth="1"/>
    <col min="11524" max="11524" width="12" style="26" customWidth="1"/>
    <col min="11525" max="11525" width="13.28515625" style="26" bestFit="1" customWidth="1"/>
    <col min="11526" max="11526" width="12.42578125" style="26" bestFit="1" customWidth="1"/>
    <col min="11527" max="11530" width="12" style="26" bestFit="1" customWidth="1"/>
    <col min="11531" max="11531" width="11.7109375" style="26" bestFit="1" customWidth="1"/>
    <col min="11532" max="11532" width="12.42578125" style="26" bestFit="1" customWidth="1"/>
    <col min="11533" max="11533" width="12.28515625" style="26" customWidth="1"/>
    <col min="11534" max="11534" width="12.7109375" style="26" bestFit="1" customWidth="1"/>
    <col min="11535" max="11535" width="13" style="26" bestFit="1" customWidth="1"/>
    <col min="11536" max="11536" width="1.42578125" style="26" customWidth="1"/>
    <col min="11537" max="11776" width="9.140625" style="26"/>
    <col min="11777" max="11777" width="1.42578125" style="26" customWidth="1"/>
    <col min="11778" max="11778" width="15.28515625" style="26" customWidth="1"/>
    <col min="11779" max="11779" width="11" style="26" customWidth="1"/>
    <col min="11780" max="11780" width="12" style="26" customWidth="1"/>
    <col min="11781" max="11781" width="13.28515625" style="26" bestFit="1" customWidth="1"/>
    <col min="11782" max="11782" width="12.42578125" style="26" bestFit="1" customWidth="1"/>
    <col min="11783" max="11786" width="12" style="26" bestFit="1" customWidth="1"/>
    <col min="11787" max="11787" width="11.7109375" style="26" bestFit="1" customWidth="1"/>
    <col min="11788" max="11788" width="12.42578125" style="26" bestFit="1" customWidth="1"/>
    <col min="11789" max="11789" width="12.28515625" style="26" customWidth="1"/>
    <col min="11790" max="11790" width="12.7109375" style="26" bestFit="1" customWidth="1"/>
    <col min="11791" max="11791" width="13" style="26" bestFit="1" customWidth="1"/>
    <col min="11792" max="11792" width="1.42578125" style="26" customWidth="1"/>
    <col min="11793" max="12032" width="9.140625" style="26"/>
    <col min="12033" max="12033" width="1.42578125" style="26" customWidth="1"/>
    <col min="12034" max="12034" width="15.28515625" style="26" customWidth="1"/>
    <col min="12035" max="12035" width="11" style="26" customWidth="1"/>
    <col min="12036" max="12036" width="12" style="26" customWidth="1"/>
    <col min="12037" max="12037" width="13.28515625" style="26" bestFit="1" customWidth="1"/>
    <col min="12038" max="12038" width="12.42578125" style="26" bestFit="1" customWidth="1"/>
    <col min="12039" max="12042" width="12" style="26" bestFit="1" customWidth="1"/>
    <col min="12043" max="12043" width="11.7109375" style="26" bestFit="1" customWidth="1"/>
    <col min="12044" max="12044" width="12.42578125" style="26" bestFit="1" customWidth="1"/>
    <col min="12045" max="12045" width="12.28515625" style="26" customWidth="1"/>
    <col min="12046" max="12046" width="12.7109375" style="26" bestFit="1" customWidth="1"/>
    <col min="12047" max="12047" width="13" style="26" bestFit="1" customWidth="1"/>
    <col min="12048" max="12048" width="1.42578125" style="26" customWidth="1"/>
    <col min="12049" max="12288" width="9.140625" style="26"/>
    <col min="12289" max="12289" width="1.42578125" style="26" customWidth="1"/>
    <col min="12290" max="12290" width="15.28515625" style="26" customWidth="1"/>
    <col min="12291" max="12291" width="11" style="26" customWidth="1"/>
    <col min="12292" max="12292" width="12" style="26" customWidth="1"/>
    <col min="12293" max="12293" width="13.28515625" style="26" bestFit="1" customWidth="1"/>
    <col min="12294" max="12294" width="12.42578125" style="26" bestFit="1" customWidth="1"/>
    <col min="12295" max="12298" width="12" style="26" bestFit="1" customWidth="1"/>
    <col min="12299" max="12299" width="11.7109375" style="26" bestFit="1" customWidth="1"/>
    <col min="12300" max="12300" width="12.42578125" style="26" bestFit="1" customWidth="1"/>
    <col min="12301" max="12301" width="12.28515625" style="26" customWidth="1"/>
    <col min="12302" max="12302" width="12.7109375" style="26" bestFit="1" customWidth="1"/>
    <col min="12303" max="12303" width="13" style="26" bestFit="1" customWidth="1"/>
    <col min="12304" max="12304" width="1.42578125" style="26" customWidth="1"/>
    <col min="12305" max="12544" width="9.140625" style="26"/>
    <col min="12545" max="12545" width="1.42578125" style="26" customWidth="1"/>
    <col min="12546" max="12546" width="15.28515625" style="26" customWidth="1"/>
    <col min="12547" max="12547" width="11" style="26" customWidth="1"/>
    <col min="12548" max="12548" width="12" style="26" customWidth="1"/>
    <col min="12549" max="12549" width="13.28515625" style="26" bestFit="1" customWidth="1"/>
    <col min="12550" max="12550" width="12.42578125" style="26" bestFit="1" customWidth="1"/>
    <col min="12551" max="12554" width="12" style="26" bestFit="1" customWidth="1"/>
    <col min="12555" max="12555" width="11.7109375" style="26" bestFit="1" customWidth="1"/>
    <col min="12556" max="12556" width="12.42578125" style="26" bestFit="1" customWidth="1"/>
    <col min="12557" max="12557" width="12.28515625" style="26" customWidth="1"/>
    <col min="12558" max="12558" width="12.7109375" style="26" bestFit="1" customWidth="1"/>
    <col min="12559" max="12559" width="13" style="26" bestFit="1" customWidth="1"/>
    <col min="12560" max="12560" width="1.42578125" style="26" customWidth="1"/>
    <col min="12561" max="12800" width="9.140625" style="26"/>
    <col min="12801" max="12801" width="1.42578125" style="26" customWidth="1"/>
    <col min="12802" max="12802" width="15.28515625" style="26" customWidth="1"/>
    <col min="12803" max="12803" width="11" style="26" customWidth="1"/>
    <col min="12804" max="12804" width="12" style="26" customWidth="1"/>
    <col min="12805" max="12805" width="13.28515625" style="26" bestFit="1" customWidth="1"/>
    <col min="12806" max="12806" width="12.42578125" style="26" bestFit="1" customWidth="1"/>
    <col min="12807" max="12810" width="12" style="26" bestFit="1" customWidth="1"/>
    <col min="12811" max="12811" width="11.7109375" style="26" bestFit="1" customWidth="1"/>
    <col min="12812" max="12812" width="12.42578125" style="26" bestFit="1" customWidth="1"/>
    <col min="12813" max="12813" width="12.28515625" style="26" customWidth="1"/>
    <col min="12814" max="12814" width="12.7109375" style="26" bestFit="1" customWidth="1"/>
    <col min="12815" max="12815" width="13" style="26" bestFit="1" customWidth="1"/>
    <col min="12816" max="12816" width="1.42578125" style="26" customWidth="1"/>
    <col min="12817" max="13056" width="9.140625" style="26"/>
    <col min="13057" max="13057" width="1.42578125" style="26" customWidth="1"/>
    <col min="13058" max="13058" width="15.28515625" style="26" customWidth="1"/>
    <col min="13059" max="13059" width="11" style="26" customWidth="1"/>
    <col min="13060" max="13060" width="12" style="26" customWidth="1"/>
    <col min="13061" max="13061" width="13.28515625" style="26" bestFit="1" customWidth="1"/>
    <col min="13062" max="13062" width="12.42578125" style="26" bestFit="1" customWidth="1"/>
    <col min="13063" max="13066" width="12" style="26" bestFit="1" customWidth="1"/>
    <col min="13067" max="13067" width="11.7109375" style="26" bestFit="1" customWidth="1"/>
    <col min="13068" max="13068" width="12.42578125" style="26" bestFit="1" customWidth="1"/>
    <col min="13069" max="13069" width="12.28515625" style="26" customWidth="1"/>
    <col min="13070" max="13070" width="12.7109375" style="26" bestFit="1" customWidth="1"/>
    <col min="13071" max="13071" width="13" style="26" bestFit="1" customWidth="1"/>
    <col min="13072" max="13072" width="1.42578125" style="26" customWidth="1"/>
    <col min="13073" max="13312" width="9.140625" style="26"/>
    <col min="13313" max="13313" width="1.42578125" style="26" customWidth="1"/>
    <col min="13314" max="13314" width="15.28515625" style="26" customWidth="1"/>
    <col min="13315" max="13315" width="11" style="26" customWidth="1"/>
    <col min="13316" max="13316" width="12" style="26" customWidth="1"/>
    <col min="13317" max="13317" width="13.28515625" style="26" bestFit="1" customWidth="1"/>
    <col min="13318" max="13318" width="12.42578125" style="26" bestFit="1" customWidth="1"/>
    <col min="13319" max="13322" width="12" style="26" bestFit="1" customWidth="1"/>
    <col min="13323" max="13323" width="11.7109375" style="26" bestFit="1" customWidth="1"/>
    <col min="13324" max="13324" width="12.42578125" style="26" bestFit="1" customWidth="1"/>
    <col min="13325" max="13325" width="12.28515625" style="26" customWidth="1"/>
    <col min="13326" max="13326" width="12.7109375" style="26" bestFit="1" customWidth="1"/>
    <col min="13327" max="13327" width="13" style="26" bestFit="1" customWidth="1"/>
    <col min="13328" max="13328" width="1.42578125" style="26" customWidth="1"/>
    <col min="13329" max="13568" width="9.140625" style="26"/>
    <col min="13569" max="13569" width="1.42578125" style="26" customWidth="1"/>
    <col min="13570" max="13570" width="15.28515625" style="26" customWidth="1"/>
    <col min="13571" max="13571" width="11" style="26" customWidth="1"/>
    <col min="13572" max="13572" width="12" style="26" customWidth="1"/>
    <col min="13573" max="13573" width="13.28515625" style="26" bestFit="1" customWidth="1"/>
    <col min="13574" max="13574" width="12.42578125" style="26" bestFit="1" customWidth="1"/>
    <col min="13575" max="13578" width="12" style="26" bestFit="1" customWidth="1"/>
    <col min="13579" max="13579" width="11.7109375" style="26" bestFit="1" customWidth="1"/>
    <col min="13580" max="13580" width="12.42578125" style="26" bestFit="1" customWidth="1"/>
    <col min="13581" max="13581" width="12.28515625" style="26" customWidth="1"/>
    <col min="13582" max="13582" width="12.7109375" style="26" bestFit="1" customWidth="1"/>
    <col min="13583" max="13583" width="13" style="26" bestFit="1" customWidth="1"/>
    <col min="13584" max="13584" width="1.42578125" style="26" customWidth="1"/>
    <col min="13585" max="13824" width="9.140625" style="26"/>
    <col min="13825" max="13825" width="1.42578125" style="26" customWidth="1"/>
    <col min="13826" max="13826" width="15.28515625" style="26" customWidth="1"/>
    <col min="13827" max="13827" width="11" style="26" customWidth="1"/>
    <col min="13828" max="13828" width="12" style="26" customWidth="1"/>
    <col min="13829" max="13829" width="13.28515625" style="26" bestFit="1" customWidth="1"/>
    <col min="13830" max="13830" width="12.42578125" style="26" bestFit="1" customWidth="1"/>
    <col min="13831" max="13834" width="12" style="26" bestFit="1" customWidth="1"/>
    <col min="13835" max="13835" width="11.7109375" style="26" bestFit="1" customWidth="1"/>
    <col min="13836" max="13836" width="12.42578125" style="26" bestFit="1" customWidth="1"/>
    <col min="13837" max="13837" width="12.28515625" style="26" customWidth="1"/>
    <col min="13838" max="13838" width="12.7109375" style="26" bestFit="1" customWidth="1"/>
    <col min="13839" max="13839" width="13" style="26" bestFit="1" customWidth="1"/>
    <col min="13840" max="13840" width="1.42578125" style="26" customWidth="1"/>
    <col min="13841" max="14080" width="9.140625" style="26"/>
    <col min="14081" max="14081" width="1.42578125" style="26" customWidth="1"/>
    <col min="14082" max="14082" width="15.28515625" style="26" customWidth="1"/>
    <col min="14083" max="14083" width="11" style="26" customWidth="1"/>
    <col min="14084" max="14084" width="12" style="26" customWidth="1"/>
    <col min="14085" max="14085" width="13.28515625" style="26" bestFit="1" customWidth="1"/>
    <col min="14086" max="14086" width="12.42578125" style="26" bestFit="1" customWidth="1"/>
    <col min="14087" max="14090" width="12" style="26" bestFit="1" customWidth="1"/>
    <col min="14091" max="14091" width="11.7109375" style="26" bestFit="1" customWidth="1"/>
    <col min="14092" max="14092" width="12.42578125" style="26" bestFit="1" customWidth="1"/>
    <col min="14093" max="14093" width="12.28515625" style="26" customWidth="1"/>
    <col min="14094" max="14094" width="12.7109375" style="26" bestFit="1" customWidth="1"/>
    <col min="14095" max="14095" width="13" style="26" bestFit="1" customWidth="1"/>
    <col min="14096" max="14096" width="1.42578125" style="26" customWidth="1"/>
    <col min="14097" max="14336" width="9.140625" style="26"/>
    <col min="14337" max="14337" width="1.42578125" style="26" customWidth="1"/>
    <col min="14338" max="14338" width="15.28515625" style="26" customWidth="1"/>
    <col min="14339" max="14339" width="11" style="26" customWidth="1"/>
    <col min="14340" max="14340" width="12" style="26" customWidth="1"/>
    <col min="14341" max="14341" width="13.28515625" style="26" bestFit="1" customWidth="1"/>
    <col min="14342" max="14342" width="12.42578125" style="26" bestFit="1" customWidth="1"/>
    <col min="14343" max="14346" width="12" style="26" bestFit="1" customWidth="1"/>
    <col min="14347" max="14347" width="11.7109375" style="26" bestFit="1" customWidth="1"/>
    <col min="14348" max="14348" width="12.42578125" style="26" bestFit="1" customWidth="1"/>
    <col min="14349" max="14349" width="12.28515625" style="26" customWidth="1"/>
    <col min="14350" max="14350" width="12.7109375" style="26" bestFit="1" customWidth="1"/>
    <col min="14351" max="14351" width="13" style="26" bestFit="1" customWidth="1"/>
    <col min="14352" max="14352" width="1.42578125" style="26" customWidth="1"/>
    <col min="14353" max="14592" width="9.140625" style="26"/>
    <col min="14593" max="14593" width="1.42578125" style="26" customWidth="1"/>
    <col min="14594" max="14594" width="15.28515625" style="26" customWidth="1"/>
    <col min="14595" max="14595" width="11" style="26" customWidth="1"/>
    <col min="14596" max="14596" width="12" style="26" customWidth="1"/>
    <col min="14597" max="14597" width="13.28515625" style="26" bestFit="1" customWidth="1"/>
    <col min="14598" max="14598" width="12.42578125" style="26" bestFit="1" customWidth="1"/>
    <col min="14599" max="14602" width="12" style="26" bestFit="1" customWidth="1"/>
    <col min="14603" max="14603" width="11.7109375" style="26" bestFit="1" customWidth="1"/>
    <col min="14604" max="14604" width="12.42578125" style="26" bestFit="1" customWidth="1"/>
    <col min="14605" max="14605" width="12.28515625" style="26" customWidth="1"/>
    <col min="14606" max="14606" width="12.7109375" style="26" bestFit="1" customWidth="1"/>
    <col min="14607" max="14607" width="13" style="26" bestFit="1" customWidth="1"/>
    <col min="14608" max="14608" width="1.42578125" style="26" customWidth="1"/>
    <col min="14609" max="14848" width="9.140625" style="26"/>
    <col min="14849" max="14849" width="1.42578125" style="26" customWidth="1"/>
    <col min="14850" max="14850" width="15.28515625" style="26" customWidth="1"/>
    <col min="14851" max="14851" width="11" style="26" customWidth="1"/>
    <col min="14852" max="14852" width="12" style="26" customWidth="1"/>
    <col min="14853" max="14853" width="13.28515625" style="26" bestFit="1" customWidth="1"/>
    <col min="14854" max="14854" width="12.42578125" style="26" bestFit="1" customWidth="1"/>
    <col min="14855" max="14858" width="12" style="26" bestFit="1" customWidth="1"/>
    <col min="14859" max="14859" width="11.7109375" style="26" bestFit="1" customWidth="1"/>
    <col min="14860" max="14860" width="12.42578125" style="26" bestFit="1" customWidth="1"/>
    <col min="14861" max="14861" width="12.28515625" style="26" customWidth="1"/>
    <col min="14862" max="14862" width="12.7109375" style="26" bestFit="1" customWidth="1"/>
    <col min="14863" max="14863" width="13" style="26" bestFit="1" customWidth="1"/>
    <col min="14864" max="14864" width="1.42578125" style="26" customWidth="1"/>
    <col min="14865" max="15104" width="9.140625" style="26"/>
    <col min="15105" max="15105" width="1.42578125" style="26" customWidth="1"/>
    <col min="15106" max="15106" width="15.28515625" style="26" customWidth="1"/>
    <col min="15107" max="15107" width="11" style="26" customWidth="1"/>
    <col min="15108" max="15108" width="12" style="26" customWidth="1"/>
    <col min="15109" max="15109" width="13.28515625" style="26" bestFit="1" customWidth="1"/>
    <col min="15110" max="15110" width="12.42578125" style="26" bestFit="1" customWidth="1"/>
    <col min="15111" max="15114" width="12" style="26" bestFit="1" customWidth="1"/>
    <col min="15115" max="15115" width="11.7109375" style="26" bestFit="1" customWidth="1"/>
    <col min="15116" max="15116" width="12.42578125" style="26" bestFit="1" customWidth="1"/>
    <col min="15117" max="15117" width="12.28515625" style="26" customWidth="1"/>
    <col min="15118" max="15118" width="12.7109375" style="26" bestFit="1" customWidth="1"/>
    <col min="15119" max="15119" width="13" style="26" bestFit="1" customWidth="1"/>
    <col min="15120" max="15120" width="1.42578125" style="26" customWidth="1"/>
    <col min="15121" max="15360" width="9.140625" style="26"/>
    <col min="15361" max="15361" width="1.42578125" style="26" customWidth="1"/>
    <col min="15362" max="15362" width="15.28515625" style="26" customWidth="1"/>
    <col min="15363" max="15363" width="11" style="26" customWidth="1"/>
    <col min="15364" max="15364" width="12" style="26" customWidth="1"/>
    <col min="15365" max="15365" width="13.28515625" style="26" bestFit="1" customWidth="1"/>
    <col min="15366" max="15366" width="12.42578125" style="26" bestFit="1" customWidth="1"/>
    <col min="15367" max="15370" width="12" style="26" bestFit="1" customWidth="1"/>
    <col min="15371" max="15371" width="11.7109375" style="26" bestFit="1" customWidth="1"/>
    <col min="15372" max="15372" width="12.42578125" style="26" bestFit="1" customWidth="1"/>
    <col min="15373" max="15373" width="12.28515625" style="26" customWidth="1"/>
    <col min="15374" max="15374" width="12.7109375" style="26" bestFit="1" customWidth="1"/>
    <col min="15375" max="15375" width="13" style="26" bestFit="1" customWidth="1"/>
    <col min="15376" max="15376" width="1.42578125" style="26" customWidth="1"/>
    <col min="15377" max="15616" width="9.140625" style="26"/>
    <col min="15617" max="15617" width="1.42578125" style="26" customWidth="1"/>
    <col min="15618" max="15618" width="15.28515625" style="26" customWidth="1"/>
    <col min="15619" max="15619" width="11" style="26" customWidth="1"/>
    <col min="15620" max="15620" width="12" style="26" customWidth="1"/>
    <col min="15621" max="15621" width="13.28515625" style="26" bestFit="1" customWidth="1"/>
    <col min="15622" max="15622" width="12.42578125" style="26" bestFit="1" customWidth="1"/>
    <col min="15623" max="15626" width="12" style="26" bestFit="1" customWidth="1"/>
    <col min="15627" max="15627" width="11.7109375" style="26" bestFit="1" customWidth="1"/>
    <col min="15628" max="15628" width="12.42578125" style="26" bestFit="1" customWidth="1"/>
    <col min="15629" max="15629" width="12.28515625" style="26" customWidth="1"/>
    <col min="15630" max="15630" width="12.7109375" style="26" bestFit="1" customWidth="1"/>
    <col min="15631" max="15631" width="13" style="26" bestFit="1" customWidth="1"/>
    <col min="15632" max="15632" width="1.42578125" style="26" customWidth="1"/>
    <col min="15633" max="15872" width="9.140625" style="26"/>
    <col min="15873" max="15873" width="1.42578125" style="26" customWidth="1"/>
    <col min="15874" max="15874" width="15.28515625" style="26" customWidth="1"/>
    <col min="15875" max="15875" width="11" style="26" customWidth="1"/>
    <col min="15876" max="15876" width="12" style="26" customWidth="1"/>
    <col min="15877" max="15877" width="13.28515625" style="26" bestFit="1" customWidth="1"/>
    <col min="15878" max="15878" width="12.42578125" style="26" bestFit="1" customWidth="1"/>
    <col min="15879" max="15882" width="12" style="26" bestFit="1" customWidth="1"/>
    <col min="15883" max="15883" width="11.7109375" style="26" bestFit="1" customWidth="1"/>
    <col min="15884" max="15884" width="12.42578125" style="26" bestFit="1" customWidth="1"/>
    <col min="15885" max="15885" width="12.28515625" style="26" customWidth="1"/>
    <col min="15886" max="15886" width="12.7109375" style="26" bestFit="1" customWidth="1"/>
    <col min="15887" max="15887" width="13" style="26" bestFit="1" customWidth="1"/>
    <col min="15888" max="15888" width="1.42578125" style="26" customWidth="1"/>
    <col min="15889" max="16128" width="9.140625" style="26"/>
    <col min="16129" max="16129" width="1.42578125" style="26" customWidth="1"/>
    <col min="16130" max="16130" width="15.28515625" style="26" customWidth="1"/>
    <col min="16131" max="16131" width="11" style="26" customWidth="1"/>
    <col min="16132" max="16132" width="12" style="26" customWidth="1"/>
    <col min="16133" max="16133" width="13.28515625" style="26" bestFit="1" customWidth="1"/>
    <col min="16134" max="16134" width="12.42578125" style="26" bestFit="1" customWidth="1"/>
    <col min="16135" max="16138" width="12" style="26" bestFit="1" customWidth="1"/>
    <col min="16139" max="16139" width="11.7109375" style="26" bestFit="1" customWidth="1"/>
    <col min="16140" max="16140" width="12.42578125" style="26" bestFit="1" customWidth="1"/>
    <col min="16141" max="16141" width="12.28515625" style="26" customWidth="1"/>
    <col min="16142" max="16142" width="12.7109375" style="26" bestFit="1" customWidth="1"/>
    <col min="16143" max="16143" width="13" style="26" bestFit="1" customWidth="1"/>
    <col min="16144" max="16144" width="1.42578125" style="26" customWidth="1"/>
    <col min="16145" max="16384" width="9.140625" style="26"/>
  </cols>
  <sheetData>
    <row r="1" spans="1:16" ht="9.75" customHeight="1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8.75" x14ac:dyDescent="0.3">
      <c r="B2" s="31" t="s">
        <v>36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6</v>
      </c>
    </row>
    <row r="3" spans="1:16" ht="18.75" x14ac:dyDescent="0.3">
      <c r="B3" s="33" t="s">
        <v>268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5" spans="1:16" s="90" customFormat="1" x14ac:dyDescent="0.2">
      <c r="A5" s="87"/>
      <c r="B5" s="88"/>
      <c r="C5" s="88"/>
      <c r="D5" s="88"/>
      <c r="E5" s="89" t="s">
        <v>37</v>
      </c>
      <c r="F5" s="89" t="s">
        <v>38</v>
      </c>
      <c r="G5" s="89" t="s">
        <v>39</v>
      </c>
      <c r="H5" s="89" t="s">
        <v>40</v>
      </c>
      <c r="I5" s="89" t="s">
        <v>41</v>
      </c>
      <c r="J5" s="89" t="s">
        <v>42</v>
      </c>
      <c r="K5" s="89" t="s">
        <v>43</v>
      </c>
      <c r="L5" s="89" t="s">
        <v>44</v>
      </c>
      <c r="M5" s="89" t="s">
        <v>45</v>
      </c>
      <c r="N5" s="89" t="s">
        <v>46</v>
      </c>
      <c r="O5" s="89" t="s">
        <v>47</v>
      </c>
      <c r="P5" s="87"/>
    </row>
    <row r="6" spans="1:16" x14ac:dyDescent="0.2"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6" x14ac:dyDescent="0.2">
      <c r="B7" s="91"/>
      <c r="C7" s="92"/>
      <c r="D7" s="92"/>
      <c r="E7" s="92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6" x14ac:dyDescent="0.2">
      <c r="B8" s="26" t="s">
        <v>22</v>
      </c>
      <c r="F8" s="82">
        <v>0.1</v>
      </c>
      <c r="G8" s="21">
        <f>$F$8</f>
        <v>0.1</v>
      </c>
      <c r="H8" s="21">
        <f t="shared" ref="H8:O8" si="0">$F$8</f>
        <v>0.1</v>
      </c>
      <c r="I8" s="21">
        <f t="shared" si="0"/>
        <v>0.1</v>
      </c>
      <c r="J8" s="21">
        <f t="shared" si="0"/>
        <v>0.1</v>
      </c>
      <c r="K8" s="21">
        <f t="shared" si="0"/>
        <v>0.1</v>
      </c>
      <c r="L8" s="21">
        <f t="shared" si="0"/>
        <v>0.1</v>
      </c>
      <c r="M8" s="21">
        <f t="shared" si="0"/>
        <v>0.1</v>
      </c>
      <c r="N8" s="21">
        <f t="shared" si="0"/>
        <v>0.1</v>
      </c>
      <c r="O8" s="21">
        <f t="shared" si="0"/>
        <v>0.1</v>
      </c>
    </row>
    <row r="9" spans="1:16" x14ac:dyDescent="0.2">
      <c r="B9" s="91" t="s">
        <v>48</v>
      </c>
      <c r="C9" s="92"/>
      <c r="D9" s="92"/>
      <c r="E9" s="92"/>
      <c r="F9" s="94"/>
      <c r="G9" s="93">
        <f>F8</f>
        <v>0.1</v>
      </c>
      <c r="H9" s="93">
        <f t="shared" ref="H9:O9" si="1">(1+G9)*(1+H8)-1</f>
        <v>0.21000000000000019</v>
      </c>
      <c r="I9" s="93">
        <f t="shared" si="1"/>
        <v>0.33100000000000041</v>
      </c>
      <c r="J9" s="93">
        <f t="shared" si="1"/>
        <v>0.46410000000000062</v>
      </c>
      <c r="K9" s="93">
        <f t="shared" si="1"/>
        <v>0.61051000000000077</v>
      </c>
      <c r="L9" s="93">
        <f t="shared" si="1"/>
        <v>0.77156100000000105</v>
      </c>
      <c r="M9" s="93">
        <f t="shared" si="1"/>
        <v>0.94871710000000142</v>
      </c>
      <c r="N9" s="93">
        <f t="shared" si="1"/>
        <v>1.1435888100000016</v>
      </c>
      <c r="O9" s="93">
        <f t="shared" si="1"/>
        <v>1.3579476910000019</v>
      </c>
    </row>
    <row r="10" spans="1:16" x14ac:dyDescent="0.2">
      <c r="B10" s="26" t="s">
        <v>49</v>
      </c>
      <c r="F10" s="82">
        <v>0.1</v>
      </c>
      <c r="G10" s="21">
        <f>$F$10</f>
        <v>0.1</v>
      </c>
      <c r="H10" s="21">
        <f t="shared" ref="H10:O10" si="2">$F$10</f>
        <v>0.1</v>
      </c>
      <c r="I10" s="21">
        <f t="shared" si="2"/>
        <v>0.1</v>
      </c>
      <c r="J10" s="21">
        <f t="shared" si="2"/>
        <v>0.1</v>
      </c>
      <c r="K10" s="21">
        <f t="shared" si="2"/>
        <v>0.1</v>
      </c>
      <c r="L10" s="21">
        <f t="shared" si="2"/>
        <v>0.1</v>
      </c>
      <c r="M10" s="21">
        <f t="shared" si="2"/>
        <v>0.1</v>
      </c>
      <c r="N10" s="21">
        <f t="shared" si="2"/>
        <v>0.1</v>
      </c>
      <c r="O10" s="21">
        <f t="shared" si="2"/>
        <v>0.1</v>
      </c>
    </row>
    <row r="11" spans="1:16" x14ac:dyDescent="0.2">
      <c r="B11" s="91" t="s">
        <v>50</v>
      </c>
      <c r="C11" s="92"/>
      <c r="D11" s="92"/>
      <c r="E11" s="92"/>
      <c r="F11" s="95"/>
      <c r="G11" s="93">
        <f>F10</f>
        <v>0.1</v>
      </c>
      <c r="H11" s="93">
        <f t="shared" ref="H11:O11" si="3">(1+G11)*(1+H10)-1</f>
        <v>0.21000000000000019</v>
      </c>
      <c r="I11" s="93">
        <f t="shared" si="3"/>
        <v>0.33100000000000041</v>
      </c>
      <c r="J11" s="93">
        <f t="shared" si="3"/>
        <v>0.46410000000000062</v>
      </c>
      <c r="K11" s="93">
        <f t="shared" si="3"/>
        <v>0.61051000000000077</v>
      </c>
      <c r="L11" s="93">
        <f t="shared" si="3"/>
        <v>0.77156100000000105</v>
      </c>
      <c r="M11" s="93">
        <f t="shared" si="3"/>
        <v>0.94871710000000142</v>
      </c>
      <c r="N11" s="93">
        <f t="shared" si="3"/>
        <v>1.1435888100000016</v>
      </c>
      <c r="O11" s="93">
        <f t="shared" si="3"/>
        <v>1.3579476910000019</v>
      </c>
    </row>
    <row r="12" spans="1:16" x14ac:dyDescent="0.2">
      <c r="B12" s="116" t="s">
        <v>323</v>
      </c>
      <c r="F12" s="82">
        <v>0.1</v>
      </c>
      <c r="G12" s="21">
        <f>$F$12</f>
        <v>0.1</v>
      </c>
      <c r="H12" s="21">
        <f t="shared" ref="H12:O12" si="4">$F$12</f>
        <v>0.1</v>
      </c>
      <c r="I12" s="21">
        <f t="shared" si="4"/>
        <v>0.1</v>
      </c>
      <c r="J12" s="21">
        <f t="shared" si="4"/>
        <v>0.1</v>
      </c>
      <c r="K12" s="21">
        <f t="shared" si="4"/>
        <v>0.1</v>
      </c>
      <c r="L12" s="21">
        <f t="shared" si="4"/>
        <v>0.1</v>
      </c>
      <c r="M12" s="21">
        <f t="shared" si="4"/>
        <v>0.1</v>
      </c>
      <c r="N12" s="21">
        <f t="shared" si="4"/>
        <v>0.1</v>
      </c>
      <c r="O12" s="21">
        <f t="shared" si="4"/>
        <v>0.1</v>
      </c>
    </row>
    <row r="13" spans="1:16" x14ac:dyDescent="0.2">
      <c r="B13" s="91" t="s">
        <v>324</v>
      </c>
      <c r="C13" s="92"/>
      <c r="D13" s="92"/>
      <c r="E13" s="92"/>
      <c r="F13" s="95"/>
      <c r="G13" s="93">
        <f>F12</f>
        <v>0.1</v>
      </c>
      <c r="H13" s="93">
        <f t="shared" ref="H13:O13" si="5">(1+G13)*(1+H12)-1</f>
        <v>0.21000000000000019</v>
      </c>
      <c r="I13" s="93">
        <f t="shared" si="5"/>
        <v>0.33100000000000041</v>
      </c>
      <c r="J13" s="93">
        <f t="shared" si="5"/>
        <v>0.46410000000000062</v>
      </c>
      <c r="K13" s="93">
        <f t="shared" si="5"/>
        <v>0.61051000000000077</v>
      </c>
      <c r="L13" s="93">
        <f t="shared" si="5"/>
        <v>0.77156100000000105</v>
      </c>
      <c r="M13" s="93">
        <f t="shared" si="5"/>
        <v>0.94871710000000142</v>
      </c>
      <c r="N13" s="93">
        <f t="shared" si="5"/>
        <v>1.1435888100000016</v>
      </c>
      <c r="O13" s="93">
        <f t="shared" si="5"/>
        <v>1.3579476910000019</v>
      </c>
    </row>
    <row r="14" spans="1:16" x14ac:dyDescent="0.2">
      <c r="B14" s="116" t="s">
        <v>32</v>
      </c>
      <c r="F14" s="82">
        <v>0.1</v>
      </c>
      <c r="G14" s="21">
        <f>$F$14</f>
        <v>0.1</v>
      </c>
      <c r="H14" s="21">
        <f t="shared" ref="H14:O14" si="6">$F$14</f>
        <v>0.1</v>
      </c>
      <c r="I14" s="21">
        <f t="shared" si="6"/>
        <v>0.1</v>
      </c>
      <c r="J14" s="21">
        <f t="shared" si="6"/>
        <v>0.1</v>
      </c>
      <c r="K14" s="21">
        <f t="shared" si="6"/>
        <v>0.1</v>
      </c>
      <c r="L14" s="21">
        <f t="shared" si="6"/>
        <v>0.1</v>
      </c>
      <c r="M14" s="21">
        <f t="shared" si="6"/>
        <v>0.1</v>
      </c>
      <c r="N14" s="21">
        <f t="shared" si="6"/>
        <v>0.1</v>
      </c>
      <c r="O14" s="21">
        <f t="shared" si="6"/>
        <v>0.1</v>
      </c>
    </row>
    <row r="15" spans="1:16" x14ac:dyDescent="0.2">
      <c r="B15" s="91" t="s">
        <v>51</v>
      </c>
      <c r="C15" s="92"/>
      <c r="D15" s="92"/>
      <c r="E15" s="92"/>
      <c r="F15" s="94"/>
      <c r="G15" s="93">
        <f>F14</f>
        <v>0.1</v>
      </c>
      <c r="H15" s="93">
        <f t="shared" ref="H15:O15" si="7">(1+G15)*(1+H14)-1</f>
        <v>0.21000000000000019</v>
      </c>
      <c r="I15" s="93">
        <f t="shared" si="7"/>
        <v>0.33100000000000041</v>
      </c>
      <c r="J15" s="93">
        <f t="shared" si="7"/>
        <v>0.46410000000000062</v>
      </c>
      <c r="K15" s="93">
        <f t="shared" si="7"/>
        <v>0.61051000000000077</v>
      </c>
      <c r="L15" s="93">
        <f t="shared" si="7"/>
        <v>0.77156100000000105</v>
      </c>
      <c r="M15" s="93">
        <f t="shared" si="7"/>
        <v>0.94871710000000142</v>
      </c>
      <c r="N15" s="93">
        <f t="shared" si="7"/>
        <v>1.1435888100000016</v>
      </c>
      <c r="O15" s="93">
        <f t="shared" si="7"/>
        <v>1.3579476910000019</v>
      </c>
    </row>
    <row r="16" spans="1:16" x14ac:dyDescent="0.2">
      <c r="B16" s="262" t="s">
        <v>52</v>
      </c>
      <c r="E16" s="21"/>
      <c r="F16" s="82">
        <v>0.1</v>
      </c>
      <c r="G16" s="21">
        <f>$F$16</f>
        <v>0.1</v>
      </c>
      <c r="H16" s="21">
        <f t="shared" ref="H16:O16" si="8">$F$16</f>
        <v>0.1</v>
      </c>
      <c r="I16" s="21">
        <f t="shared" si="8"/>
        <v>0.1</v>
      </c>
      <c r="J16" s="21">
        <f t="shared" si="8"/>
        <v>0.1</v>
      </c>
      <c r="K16" s="21">
        <f t="shared" si="8"/>
        <v>0.1</v>
      </c>
      <c r="L16" s="21">
        <f t="shared" si="8"/>
        <v>0.1</v>
      </c>
      <c r="M16" s="21">
        <f t="shared" si="8"/>
        <v>0.1</v>
      </c>
      <c r="N16" s="21">
        <f t="shared" si="8"/>
        <v>0.1</v>
      </c>
      <c r="O16" s="21">
        <f t="shared" si="8"/>
        <v>0.1</v>
      </c>
    </row>
    <row r="17" spans="2:15" x14ac:dyDescent="0.2">
      <c r="B17" s="91" t="s">
        <v>53</v>
      </c>
      <c r="C17" s="92"/>
      <c r="D17" s="92"/>
      <c r="E17" s="93"/>
      <c r="F17" s="93"/>
      <c r="G17" s="93">
        <f t="shared" ref="G17:O17" si="9">(1+F17)*(1+G16)-1</f>
        <v>0.10000000000000009</v>
      </c>
      <c r="H17" s="93">
        <f t="shared" si="9"/>
        <v>0.21000000000000019</v>
      </c>
      <c r="I17" s="93">
        <f t="shared" si="9"/>
        <v>0.33100000000000041</v>
      </c>
      <c r="J17" s="93">
        <f t="shared" si="9"/>
        <v>0.46410000000000062</v>
      </c>
      <c r="K17" s="93">
        <f t="shared" si="9"/>
        <v>0.61051000000000077</v>
      </c>
      <c r="L17" s="93">
        <f t="shared" si="9"/>
        <v>0.77156100000000105</v>
      </c>
      <c r="M17" s="93">
        <f t="shared" si="9"/>
        <v>0.94871710000000142</v>
      </c>
      <c r="N17" s="93">
        <f t="shared" si="9"/>
        <v>1.1435888100000016</v>
      </c>
      <c r="O17" s="93">
        <f t="shared" si="9"/>
        <v>1.3579476910000019</v>
      </c>
    </row>
    <row r="18" spans="2:15" x14ac:dyDescent="0.2">
      <c r="B18" s="90" t="s">
        <v>291</v>
      </c>
      <c r="C18" s="90"/>
      <c r="D18" s="90"/>
      <c r="E18" s="287">
        <v>50000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2:15" x14ac:dyDescent="0.2">
      <c r="B19" s="26" t="s">
        <v>33</v>
      </c>
      <c r="C19" s="2"/>
      <c r="D19" s="2"/>
      <c r="E19" s="272">
        <f>MAX(((SUM(Calculations!F78:F79)+SUM(Calculations!F84:F94))/12),Calculations!E18)</f>
        <v>268000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2:15" x14ac:dyDescent="0.2">
      <c r="B20" s="26" t="s">
        <v>34</v>
      </c>
      <c r="C20" s="2"/>
      <c r="D20" s="2"/>
      <c r="E20" s="272">
        <f ca="1">IF(Calculations!F191&lt;0,-Calculations!F191/12,Calculations!F191)</f>
        <v>269996.89354558138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2:15" x14ac:dyDescent="0.2">
      <c r="B21" s="92" t="s">
        <v>35</v>
      </c>
      <c r="C21" s="92"/>
      <c r="D21" s="92"/>
      <c r="E21" s="273">
        <f ca="1">MAX(E19,E20)</f>
        <v>269996.89354558138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2:15" x14ac:dyDescent="0.2">
      <c r="C22" s="2"/>
      <c r="D22" s="2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2:15" ht="9.75" customHeight="1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5" ht="18.75" x14ac:dyDescent="0.3">
      <c r="B24" s="31" t="s">
        <v>36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 t="s">
        <v>6</v>
      </c>
    </row>
    <row r="25" spans="2:15" ht="18.75" x14ac:dyDescent="0.3">
      <c r="B25" s="33" t="s">
        <v>54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7" spans="2:15" x14ac:dyDescent="0.2">
      <c r="B27" s="98"/>
      <c r="C27" s="98"/>
      <c r="D27" s="98"/>
      <c r="E27" s="99" t="s">
        <v>55</v>
      </c>
      <c r="F27" s="99" t="s">
        <v>55</v>
      </c>
      <c r="G27" s="99" t="s">
        <v>55</v>
      </c>
      <c r="H27" s="99" t="s">
        <v>55</v>
      </c>
      <c r="I27" s="99" t="s">
        <v>55</v>
      </c>
      <c r="J27" s="99" t="s">
        <v>55</v>
      </c>
      <c r="K27" s="99" t="s">
        <v>55</v>
      </c>
      <c r="L27" s="99" t="s">
        <v>55</v>
      </c>
      <c r="M27" s="99" t="s">
        <v>55</v>
      </c>
      <c r="N27" s="99" t="s">
        <v>55</v>
      </c>
      <c r="O27" s="99" t="s">
        <v>55</v>
      </c>
    </row>
    <row r="28" spans="2:15" x14ac:dyDescent="0.2">
      <c r="B28" s="98"/>
      <c r="C28" s="98"/>
      <c r="D28" s="98"/>
      <c r="E28" s="100">
        <v>0</v>
      </c>
      <c r="F28" s="100">
        <v>1</v>
      </c>
      <c r="G28" s="100">
        <v>2</v>
      </c>
      <c r="H28" s="100">
        <v>3</v>
      </c>
      <c r="I28" s="100">
        <v>4</v>
      </c>
      <c r="J28" s="100">
        <v>5</v>
      </c>
      <c r="K28" s="100">
        <v>6</v>
      </c>
      <c r="L28" s="100">
        <v>7</v>
      </c>
      <c r="M28" s="100">
        <v>8</v>
      </c>
      <c r="N28" s="100">
        <v>9</v>
      </c>
      <c r="O28" s="100">
        <v>10</v>
      </c>
    </row>
    <row r="29" spans="2:15" x14ac:dyDescent="0.2">
      <c r="B29" s="26" t="s">
        <v>29</v>
      </c>
      <c r="E29" s="26">
        <f>IF('Input Sheet'!$E24=1,'Input Sheet'!E8, 0)</f>
        <v>0</v>
      </c>
    </row>
    <row r="30" spans="2:15" x14ac:dyDescent="0.2">
      <c r="B30" s="26" t="s">
        <v>56</v>
      </c>
      <c r="E30" s="26">
        <f>IF('Input Sheet'!$E24=1,'Input Sheet'!E9, 0)</f>
        <v>0</v>
      </c>
    </row>
    <row r="31" spans="2:15" x14ac:dyDescent="0.2">
      <c r="B31" s="26" t="s">
        <v>14</v>
      </c>
      <c r="E31" s="26">
        <f>'Input Sheet'!E10</f>
        <v>900000</v>
      </c>
    </row>
    <row r="32" spans="2:15" x14ac:dyDescent="0.2">
      <c r="B32" s="26" t="s">
        <v>16</v>
      </c>
      <c r="E32" s="26">
        <f>'Input Sheet'!E11</f>
        <v>200000</v>
      </c>
    </row>
    <row r="33" spans="2:15" x14ac:dyDescent="0.2">
      <c r="B33" s="26" t="s">
        <v>17</v>
      </c>
      <c r="E33" s="26">
        <f>'Input Sheet'!E12</f>
        <v>1500000</v>
      </c>
    </row>
    <row r="34" spans="2:15" x14ac:dyDescent="0.2">
      <c r="B34" s="26" t="s">
        <v>15</v>
      </c>
      <c r="E34" s="26">
        <f>'Input Sheet'!E13</f>
        <v>150000</v>
      </c>
    </row>
    <row r="35" spans="2:15" x14ac:dyDescent="0.2">
      <c r="B35" s="26" t="s">
        <v>57</v>
      </c>
      <c r="E35" s="26">
        <f>'Input Sheet'!E14</f>
        <v>250000</v>
      </c>
    </row>
    <row r="36" spans="2:15" x14ac:dyDescent="0.2">
      <c r="B36" s="26" t="s">
        <v>58</v>
      </c>
      <c r="E36" s="26">
        <f>'Input Sheet'!E15</f>
        <v>26000</v>
      </c>
    </row>
    <row r="37" spans="2:15" ht="13.5" thickBot="1" x14ac:dyDescent="0.25">
      <c r="B37" s="30" t="s">
        <v>59</v>
      </c>
      <c r="C37" s="30"/>
      <c r="D37" s="30"/>
      <c r="E37" s="30">
        <f>SUM(E29:E36)</f>
        <v>3026000</v>
      </c>
      <c r="F37" s="30">
        <f t="shared" ref="F37:O37" si="10">SUM(F29:F36)</f>
        <v>0</v>
      </c>
      <c r="G37" s="30">
        <f t="shared" si="10"/>
        <v>0</v>
      </c>
      <c r="H37" s="30">
        <f t="shared" si="10"/>
        <v>0</v>
      </c>
      <c r="I37" s="30">
        <f t="shared" si="10"/>
        <v>0</v>
      </c>
      <c r="J37" s="30">
        <f t="shared" si="10"/>
        <v>0</v>
      </c>
      <c r="K37" s="30">
        <f t="shared" si="10"/>
        <v>0</v>
      </c>
      <c r="L37" s="30">
        <f t="shared" si="10"/>
        <v>0</v>
      </c>
      <c r="M37" s="30">
        <f t="shared" si="10"/>
        <v>0</v>
      </c>
      <c r="N37" s="30">
        <f t="shared" si="10"/>
        <v>0</v>
      </c>
      <c r="O37" s="30">
        <f t="shared" si="10"/>
        <v>0</v>
      </c>
    </row>
    <row r="39" spans="2:15" x14ac:dyDescent="0.2">
      <c r="B39" s="26" t="s">
        <v>18</v>
      </c>
      <c r="E39" s="26">
        <f>(F79/12)*'Input Sheet'!$D$19</f>
        <v>0</v>
      </c>
    </row>
    <row r="40" spans="2:15" x14ac:dyDescent="0.2">
      <c r="B40" s="26" t="s">
        <v>20</v>
      </c>
      <c r="E40" s="26">
        <f>(SUM(F75:F76)/12)*'Input Sheet'!$D$20</f>
        <v>141968.75</v>
      </c>
    </row>
    <row r="41" spans="2:15" x14ac:dyDescent="0.2">
      <c r="B41" s="26" t="s">
        <v>60</v>
      </c>
      <c r="E41" s="26">
        <f>'Input Sheet'!E25*3</f>
        <v>45000</v>
      </c>
    </row>
    <row r="42" spans="2:15" x14ac:dyDescent="0.2">
      <c r="B42" s="90" t="s">
        <v>61</v>
      </c>
      <c r="C42" s="90"/>
      <c r="D42" s="90"/>
      <c r="E42" s="90">
        <f ca="1">Calculations!E21</f>
        <v>269996.89354558138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2:15" ht="13.5" thickBot="1" x14ac:dyDescent="0.25">
      <c r="B43" s="30" t="s">
        <v>62</v>
      </c>
      <c r="C43" s="30"/>
      <c r="D43" s="30"/>
      <c r="E43" s="30">
        <f t="shared" ref="E43:O43" ca="1" si="11">SUM(E39:E42)</f>
        <v>456965.64354558138</v>
      </c>
      <c r="F43" s="30">
        <f t="shared" si="11"/>
        <v>0</v>
      </c>
      <c r="G43" s="30">
        <f t="shared" si="11"/>
        <v>0</v>
      </c>
      <c r="H43" s="30">
        <f t="shared" si="11"/>
        <v>0</v>
      </c>
      <c r="I43" s="30">
        <f t="shared" si="11"/>
        <v>0</v>
      </c>
      <c r="J43" s="30">
        <f t="shared" si="11"/>
        <v>0</v>
      </c>
      <c r="K43" s="30">
        <f t="shared" si="11"/>
        <v>0</v>
      </c>
      <c r="L43" s="30">
        <f t="shared" si="11"/>
        <v>0</v>
      </c>
      <c r="M43" s="30">
        <f t="shared" si="11"/>
        <v>0</v>
      </c>
      <c r="N43" s="30">
        <f t="shared" si="11"/>
        <v>0</v>
      </c>
      <c r="O43" s="30">
        <f t="shared" si="11"/>
        <v>0</v>
      </c>
    </row>
    <row r="45" spans="2:15" x14ac:dyDescent="0.2">
      <c r="B45" s="101" t="s">
        <v>63</v>
      </c>
      <c r="C45" s="102"/>
      <c r="D45" s="102"/>
      <c r="E45" s="103" t="s">
        <v>37</v>
      </c>
      <c r="F45" s="103" t="s">
        <v>38</v>
      </c>
      <c r="G45" s="103" t="s">
        <v>39</v>
      </c>
      <c r="H45" s="103" t="s">
        <v>40</v>
      </c>
      <c r="I45" s="103" t="s">
        <v>41</v>
      </c>
      <c r="J45" s="103" t="s">
        <v>42</v>
      </c>
      <c r="K45" s="103" t="s">
        <v>43</v>
      </c>
      <c r="L45" s="103" t="s">
        <v>44</v>
      </c>
      <c r="M45" s="103" t="s">
        <v>45</v>
      </c>
      <c r="N45" s="103" t="s">
        <v>46</v>
      </c>
      <c r="O45" s="104" t="s">
        <v>47</v>
      </c>
    </row>
    <row r="46" spans="2:15" x14ac:dyDescent="0.2">
      <c r="B46" s="62" t="s">
        <v>11</v>
      </c>
      <c r="C46" s="63"/>
      <c r="D46" s="64">
        <f>'Input Sheet'!D96</f>
        <v>0.5</v>
      </c>
      <c r="E46" s="63">
        <f>$D46*E37</f>
        <v>1513000</v>
      </c>
      <c r="F46" s="84">
        <f t="shared" ref="F46:O46" ca="1" si="12">-$D46*MIN(E$196-F37,0)</f>
        <v>0</v>
      </c>
      <c r="G46" s="84">
        <f t="shared" ca="1" si="12"/>
        <v>0</v>
      </c>
      <c r="H46" s="84">
        <f t="shared" ca="1" si="12"/>
        <v>0</v>
      </c>
      <c r="I46" s="84">
        <f t="shared" ca="1" si="12"/>
        <v>0</v>
      </c>
      <c r="J46" s="84">
        <f t="shared" ca="1" si="12"/>
        <v>0</v>
      </c>
      <c r="K46" s="84">
        <f t="shared" ca="1" si="12"/>
        <v>0</v>
      </c>
      <c r="L46" s="84">
        <f t="shared" ca="1" si="12"/>
        <v>0</v>
      </c>
      <c r="M46" s="84">
        <f t="shared" ca="1" si="12"/>
        <v>0</v>
      </c>
      <c r="N46" s="84">
        <f t="shared" ca="1" si="12"/>
        <v>0</v>
      </c>
      <c r="O46" s="84">
        <f t="shared" ca="1" si="12"/>
        <v>0</v>
      </c>
    </row>
    <row r="47" spans="2:15" x14ac:dyDescent="0.2">
      <c r="B47" s="22" t="s">
        <v>12</v>
      </c>
      <c r="C47" s="23"/>
      <c r="D47" s="24">
        <f>'Input Sheet'!D97</f>
        <v>0.5</v>
      </c>
      <c r="E47" s="23">
        <f ca="1">$D47*E43</f>
        <v>228482.82177279069</v>
      </c>
      <c r="F47" s="85">
        <f t="shared" ref="F47:O47" ca="1" si="13">$D47*IF(F$46&gt;0,F$43,-MIN(E$196-F37-F$43,0))</f>
        <v>0</v>
      </c>
      <c r="G47" s="85">
        <f t="shared" ca="1" si="13"/>
        <v>0</v>
      </c>
      <c r="H47" s="85">
        <f t="shared" ca="1" si="13"/>
        <v>0</v>
      </c>
      <c r="I47" s="85">
        <f t="shared" ca="1" si="13"/>
        <v>0</v>
      </c>
      <c r="J47" s="85">
        <f t="shared" ca="1" si="13"/>
        <v>0</v>
      </c>
      <c r="K47" s="85">
        <f t="shared" ca="1" si="13"/>
        <v>0</v>
      </c>
      <c r="L47" s="85">
        <f t="shared" ca="1" si="13"/>
        <v>0</v>
      </c>
      <c r="M47" s="85">
        <f t="shared" ca="1" si="13"/>
        <v>0</v>
      </c>
      <c r="N47" s="85">
        <f t="shared" ca="1" si="13"/>
        <v>0</v>
      </c>
      <c r="O47" s="85">
        <f t="shared" ca="1" si="13"/>
        <v>0</v>
      </c>
    </row>
    <row r="48" spans="2:15" x14ac:dyDescent="0.2">
      <c r="B48" s="105" t="s">
        <v>10</v>
      </c>
      <c r="C48" s="90"/>
      <c r="D48" s="96">
        <f ca="1">E48/SUM(E$37,E$43)</f>
        <v>0.49999999999963229</v>
      </c>
      <c r="E48" s="106">
        <f ca="1">SUM(E46:E47)</f>
        <v>1741482.8217727907</v>
      </c>
      <c r="F48" s="18">
        <f ca="1">SUM(F46:F47)</f>
        <v>0</v>
      </c>
      <c r="G48" s="18">
        <f t="shared" ref="G48:O48" ca="1" si="14">SUM(G46:G47)</f>
        <v>0</v>
      </c>
      <c r="H48" s="18">
        <f t="shared" ca="1" si="14"/>
        <v>0</v>
      </c>
      <c r="I48" s="18">
        <f t="shared" ca="1" si="14"/>
        <v>0</v>
      </c>
      <c r="J48" s="18">
        <f t="shared" ca="1" si="14"/>
        <v>0</v>
      </c>
      <c r="K48" s="18">
        <f t="shared" ca="1" si="14"/>
        <v>0</v>
      </c>
      <c r="L48" s="18">
        <f t="shared" ca="1" si="14"/>
        <v>0</v>
      </c>
      <c r="M48" s="18">
        <f t="shared" ca="1" si="14"/>
        <v>0</v>
      </c>
      <c r="N48" s="18">
        <f t="shared" ca="1" si="14"/>
        <v>0</v>
      </c>
      <c r="O48" s="18">
        <f t="shared" ca="1" si="14"/>
        <v>0</v>
      </c>
    </row>
    <row r="49" spans="2:19" x14ac:dyDescent="0.2">
      <c r="B49" s="107" t="s">
        <v>13</v>
      </c>
      <c r="C49" s="108"/>
      <c r="D49" s="109">
        <f ca="1">E49/SUM(E$37,E$43)</f>
        <v>0.49999999999963229</v>
      </c>
      <c r="E49" s="108">
        <f ca="1">SUM(E37,E43)-SUM(E48)</f>
        <v>1741482.8217727907</v>
      </c>
      <c r="F49" s="110">
        <f t="shared" ref="F49:O49" ca="1" si="15">-MIN(E196-SUM(F37,F43,-F48),0)</f>
        <v>0</v>
      </c>
      <c r="G49" s="110">
        <f t="shared" ca="1" si="15"/>
        <v>0</v>
      </c>
      <c r="H49" s="110">
        <f t="shared" ca="1" si="15"/>
        <v>0</v>
      </c>
      <c r="I49" s="110">
        <f t="shared" ca="1" si="15"/>
        <v>0</v>
      </c>
      <c r="J49" s="110">
        <f t="shared" ca="1" si="15"/>
        <v>0</v>
      </c>
      <c r="K49" s="110">
        <f t="shared" ca="1" si="15"/>
        <v>0</v>
      </c>
      <c r="L49" s="110">
        <f t="shared" ca="1" si="15"/>
        <v>0</v>
      </c>
      <c r="M49" s="110">
        <f t="shared" ca="1" si="15"/>
        <v>0</v>
      </c>
      <c r="N49" s="110">
        <f t="shared" ca="1" si="15"/>
        <v>0</v>
      </c>
      <c r="O49" s="110">
        <f t="shared" ca="1" si="15"/>
        <v>0</v>
      </c>
    </row>
    <row r="51" spans="2:19" ht="9.75" customHeight="1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9" ht="18.75" x14ac:dyDescent="0.3">
      <c r="B52" s="31" t="s">
        <v>36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 t="s">
        <v>6</v>
      </c>
    </row>
    <row r="53" spans="2:19" ht="18.75" x14ac:dyDescent="0.3">
      <c r="B53" s="33" t="s">
        <v>64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5" spans="2:19" x14ac:dyDescent="0.2">
      <c r="B55" s="98"/>
      <c r="C55" s="98"/>
      <c r="D55" s="98"/>
      <c r="E55" s="98"/>
      <c r="F55" s="98" t="s">
        <v>38</v>
      </c>
      <c r="G55" s="98" t="s">
        <v>39</v>
      </c>
      <c r="H55" s="98" t="s">
        <v>40</v>
      </c>
      <c r="I55" s="98" t="s">
        <v>41</v>
      </c>
      <c r="J55" s="98" t="s">
        <v>42</v>
      </c>
      <c r="K55" s="98" t="s">
        <v>43</v>
      </c>
      <c r="L55" s="98" t="s">
        <v>44</v>
      </c>
      <c r="M55" s="98" t="s">
        <v>45</v>
      </c>
      <c r="N55" s="98" t="s">
        <v>46</v>
      </c>
      <c r="O55" s="98" t="s">
        <v>47</v>
      </c>
    </row>
    <row r="56" spans="2:19" x14ac:dyDescent="0.2">
      <c r="B56" s="26" t="s">
        <v>65</v>
      </c>
      <c r="F56" s="26">
        <f>'Input Sheet'!$E$30*'Input Sheet'!$D$52</f>
        <v>82500</v>
      </c>
      <c r="G56" s="26">
        <f>'Input Sheet'!$E$30*'Input Sheet'!$D$52</f>
        <v>82500</v>
      </c>
      <c r="H56" s="26">
        <f>'Input Sheet'!$E$30*'Input Sheet'!$D$52</f>
        <v>82500</v>
      </c>
      <c r="I56" s="26">
        <f>'Input Sheet'!$E$30*'Input Sheet'!$D$52</f>
        <v>82500</v>
      </c>
      <c r="J56" s="26">
        <f>'Input Sheet'!$E$30*'Input Sheet'!$D$52</f>
        <v>82500</v>
      </c>
      <c r="K56" s="26">
        <f>'Input Sheet'!$E$30*'Input Sheet'!$D$52</f>
        <v>82500</v>
      </c>
      <c r="L56" s="26">
        <f>'Input Sheet'!$E$30*'Input Sheet'!$D$52</f>
        <v>82500</v>
      </c>
      <c r="M56" s="26">
        <f>'Input Sheet'!$E$30*'Input Sheet'!$D$52</f>
        <v>82500</v>
      </c>
      <c r="N56" s="26">
        <f>'Input Sheet'!$E$30*'Input Sheet'!$D$52</f>
        <v>82500</v>
      </c>
      <c r="O56" s="26">
        <f>'Input Sheet'!$E$30*'Input Sheet'!$D$52</f>
        <v>82500</v>
      </c>
    </row>
    <row r="57" spans="2:19" x14ac:dyDescent="0.2">
      <c r="B57" s="26" t="s">
        <v>66</v>
      </c>
      <c r="F57" s="111">
        <f>'Input Sheet'!$D$33/100</f>
        <v>0.6</v>
      </c>
      <c r="G57" s="111">
        <f>'Input Sheet'!$D$33/100</f>
        <v>0.6</v>
      </c>
      <c r="H57" s="111">
        <f>'Input Sheet'!$D$33/100</f>
        <v>0.6</v>
      </c>
      <c r="I57" s="111">
        <f>'Input Sheet'!$D$33/100</f>
        <v>0.6</v>
      </c>
      <c r="J57" s="111">
        <f>'Input Sheet'!$D$33/100</f>
        <v>0.6</v>
      </c>
      <c r="K57" s="111">
        <f>'Input Sheet'!$D$33/100</f>
        <v>0.6</v>
      </c>
      <c r="L57" s="111">
        <f>'Input Sheet'!$D$33/100</f>
        <v>0.6</v>
      </c>
      <c r="M57" s="111">
        <f>'Input Sheet'!$D$33/100</f>
        <v>0.6</v>
      </c>
      <c r="N57" s="111">
        <f>'Input Sheet'!$D$33/100</f>
        <v>0.6</v>
      </c>
      <c r="O57" s="111">
        <f>'Input Sheet'!$D$33/100</f>
        <v>0.6</v>
      </c>
    </row>
    <row r="58" spans="2:19" x14ac:dyDescent="0.2">
      <c r="B58" s="26" t="s">
        <v>67</v>
      </c>
      <c r="F58" s="112"/>
      <c r="G58" s="111">
        <f>'Input Sheet'!$D$34/100</f>
        <v>0.05</v>
      </c>
      <c r="H58" s="111">
        <f>'Input Sheet'!$D$34/100</f>
        <v>0.05</v>
      </c>
      <c r="I58" s="111">
        <f>'Input Sheet'!$D$34/100</f>
        <v>0.05</v>
      </c>
      <c r="J58" s="111">
        <f>'Input Sheet'!$D$34/100</f>
        <v>0.05</v>
      </c>
      <c r="K58" s="111">
        <f>'Input Sheet'!$D$34/100</f>
        <v>0.05</v>
      </c>
      <c r="L58" s="111">
        <f>'Input Sheet'!$D$34/100</f>
        <v>0.05</v>
      </c>
      <c r="M58" s="111">
        <f>'Input Sheet'!$D$34/100</f>
        <v>0.05</v>
      </c>
      <c r="N58" s="111">
        <f>'Input Sheet'!$D$34/100</f>
        <v>0.05</v>
      </c>
      <c r="O58" s="111">
        <f>'Input Sheet'!$D$34/100</f>
        <v>0.05</v>
      </c>
    </row>
    <row r="59" spans="2:19" x14ac:dyDescent="0.2">
      <c r="B59" s="26" t="s">
        <v>68</v>
      </c>
      <c r="E59" s="111"/>
      <c r="F59" s="111">
        <f>MIN((F57+SUM($F58:F58)),'Input Sheet'!$D$35/100)</f>
        <v>0.6</v>
      </c>
      <c r="G59" s="111">
        <f>MIN((G57+SUM($F58:G58)),'Input Sheet'!$D$35/100)</f>
        <v>0.65</v>
      </c>
      <c r="H59" s="111">
        <f>MIN((H57+SUM($F58:H58)),'Input Sheet'!$D$35/100)</f>
        <v>0.7</v>
      </c>
      <c r="I59" s="111">
        <f>MIN((I57+SUM($F58:I58)),'Input Sheet'!$D$35/100)</f>
        <v>0.75</v>
      </c>
      <c r="J59" s="111">
        <f>MIN((J57+SUM($F58:J58)),'Input Sheet'!$D$35/100)</f>
        <v>0.8</v>
      </c>
      <c r="K59" s="111">
        <f>MIN((K57+SUM($F58:K58)),'Input Sheet'!$D$35/100)</f>
        <v>0.85</v>
      </c>
      <c r="L59" s="111">
        <f>MIN((L57+SUM($F58:L58)),'Input Sheet'!$D$35/100)</f>
        <v>0.89999999999999991</v>
      </c>
      <c r="M59" s="111">
        <f>MIN((M57+SUM($F58:M58)),'Input Sheet'!$D$35/100)</f>
        <v>0.95</v>
      </c>
      <c r="N59" s="111">
        <f>MIN((N57+SUM($F58:N58)),'Input Sheet'!$D$35/100)</f>
        <v>0.95</v>
      </c>
      <c r="O59" s="111">
        <f>MIN((O57+SUM($F58:O58)),'Input Sheet'!$D$35/100)</f>
        <v>0.95</v>
      </c>
    </row>
    <row r="60" spans="2:19" x14ac:dyDescent="0.2">
      <c r="B60" s="26" t="s">
        <v>69</v>
      </c>
      <c r="F60" s="26">
        <f>F59*F56</f>
        <v>49500</v>
      </c>
      <c r="G60" s="26">
        <f t="shared" ref="G60:O60" si="16">G59*G56</f>
        <v>53625</v>
      </c>
      <c r="H60" s="26">
        <f t="shared" si="16"/>
        <v>57749.999999999993</v>
      </c>
      <c r="I60" s="26">
        <f t="shared" si="16"/>
        <v>61875</v>
      </c>
      <c r="J60" s="26">
        <f t="shared" si="16"/>
        <v>66000</v>
      </c>
      <c r="K60" s="26">
        <f t="shared" si="16"/>
        <v>70125</v>
      </c>
      <c r="L60" s="26">
        <f t="shared" si="16"/>
        <v>74249.999999999985</v>
      </c>
      <c r="M60" s="26">
        <f t="shared" si="16"/>
        <v>78375</v>
      </c>
      <c r="N60" s="26">
        <f t="shared" si="16"/>
        <v>78375</v>
      </c>
      <c r="O60" s="26">
        <f t="shared" si="16"/>
        <v>78375</v>
      </c>
    </row>
    <row r="61" spans="2:19" x14ac:dyDescent="0.2">
      <c r="B61" s="26" t="s">
        <v>70</v>
      </c>
      <c r="F61" s="26">
        <f>F60-F62</f>
        <v>48675</v>
      </c>
      <c r="G61" s="26">
        <f>G60-G62+F62</f>
        <v>53556.25</v>
      </c>
      <c r="H61" s="26">
        <f t="shared" ref="H61:O61" si="17">H60-H62+G62</f>
        <v>57681.249999999993</v>
      </c>
      <c r="I61" s="26">
        <f t="shared" si="17"/>
        <v>61806.25</v>
      </c>
      <c r="J61" s="26">
        <f t="shared" si="17"/>
        <v>65931.25</v>
      </c>
      <c r="K61" s="26">
        <f t="shared" si="17"/>
        <v>70056.25</v>
      </c>
      <c r="L61" s="26">
        <f t="shared" si="17"/>
        <v>74181.249999999985</v>
      </c>
      <c r="M61" s="26">
        <f t="shared" si="17"/>
        <v>78306.25</v>
      </c>
      <c r="N61" s="26">
        <f t="shared" si="17"/>
        <v>78375</v>
      </c>
      <c r="O61" s="26">
        <f t="shared" si="17"/>
        <v>78375</v>
      </c>
    </row>
    <row r="62" spans="2:19" x14ac:dyDescent="0.2">
      <c r="B62" s="26" t="s">
        <v>71</v>
      </c>
      <c r="F62" s="26">
        <f>(F60/12)*'Input Sheet'!$D$21</f>
        <v>825</v>
      </c>
      <c r="G62" s="26">
        <f>(G60/12)*'Input Sheet'!$D$21</f>
        <v>893.75</v>
      </c>
      <c r="H62" s="26">
        <f>(H60/12)*'Input Sheet'!$D$21</f>
        <v>962.49999999999989</v>
      </c>
      <c r="I62" s="26">
        <f>(I60/12)*'Input Sheet'!$D$21</f>
        <v>1031.25</v>
      </c>
      <c r="J62" s="26">
        <f>(J60/12)*'Input Sheet'!$D$21</f>
        <v>1100</v>
      </c>
      <c r="K62" s="26">
        <f>(K60/12)*'Input Sheet'!$D$21</f>
        <v>1168.75</v>
      </c>
      <c r="L62" s="26">
        <f>(L60/12)*'Input Sheet'!$D$21</f>
        <v>1237.5</v>
      </c>
      <c r="M62" s="26">
        <f>(M60/12)*'Input Sheet'!$D$21</f>
        <v>1306.25</v>
      </c>
      <c r="N62" s="26">
        <f>(N60/12)*'Input Sheet'!$D$21</f>
        <v>1306.25</v>
      </c>
      <c r="O62" s="26">
        <f>(O60/12)*'Input Sheet'!$D$21</f>
        <v>1306.25</v>
      </c>
    </row>
    <row r="63" spans="2:19" x14ac:dyDescent="0.2">
      <c r="B63" s="26" t="s">
        <v>170</v>
      </c>
      <c r="F63" s="26">
        <f>'Input Sheet'!$D$31*(1+F$9)</f>
        <v>160</v>
      </c>
      <c r="G63" s="26">
        <f>'Input Sheet'!$D$31*(1+G$9)</f>
        <v>176</v>
      </c>
      <c r="H63" s="26">
        <f>'Input Sheet'!$D$31*(1+H$9)</f>
        <v>193.60000000000002</v>
      </c>
      <c r="I63" s="26">
        <f>'Input Sheet'!$D$31*(1+I$9)</f>
        <v>212.96000000000006</v>
      </c>
      <c r="J63" s="26">
        <f>'Input Sheet'!$D$31*(1+J$9)</f>
        <v>234.25600000000009</v>
      </c>
      <c r="K63" s="26">
        <f>'Input Sheet'!$D$31*(1+K$9)</f>
        <v>257.68160000000012</v>
      </c>
      <c r="L63" s="26">
        <f>'Input Sheet'!$D$31*(1+L$9)</f>
        <v>283.4497600000002</v>
      </c>
      <c r="M63" s="26">
        <f>'Input Sheet'!$D$31*(1+M$9)</f>
        <v>311.79473600000023</v>
      </c>
      <c r="N63" s="26">
        <f>'Input Sheet'!$D$31*(1+N$9)</f>
        <v>342.97420960000022</v>
      </c>
      <c r="O63" s="26">
        <f>'Input Sheet'!$D$31*(1+O$9)</f>
        <v>377.27163056000029</v>
      </c>
    </row>
    <row r="64" spans="2:19" ht="6.75" customHeight="1" x14ac:dyDescent="0.2">
      <c r="S64" s="113"/>
    </row>
    <row r="65" spans="2:15" x14ac:dyDescent="0.2">
      <c r="B65" s="26" t="s">
        <v>72</v>
      </c>
      <c r="F65" s="26">
        <f>F61*F63</f>
        <v>7788000</v>
      </c>
      <c r="G65" s="26">
        <f t="shared" ref="G65:O65" si="18">G61*G63</f>
        <v>9425900</v>
      </c>
      <c r="H65" s="26">
        <f t="shared" si="18"/>
        <v>11167090</v>
      </c>
      <c r="I65" s="26">
        <f t="shared" si="18"/>
        <v>13162259.000000004</v>
      </c>
      <c r="J65" s="26">
        <f t="shared" si="18"/>
        <v>15444790.900000006</v>
      </c>
      <c r="K65" s="26">
        <f t="shared" si="18"/>
        <v>18052206.590000007</v>
      </c>
      <c r="L65" s="26">
        <f t="shared" si="18"/>
        <v>21026657.509000011</v>
      </c>
      <c r="M65" s="26">
        <f t="shared" si="18"/>
        <v>24415476.545900017</v>
      </c>
      <c r="N65" s="26">
        <f t="shared" si="18"/>
        <v>26880603.677400019</v>
      </c>
      <c r="O65" s="26">
        <f t="shared" si="18"/>
        <v>29568664.045140024</v>
      </c>
    </row>
    <row r="66" spans="2:15" ht="9.75" customHeight="1" x14ac:dyDescent="0.2"/>
    <row r="67" spans="2:15" ht="9.75" customHeight="1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2:15" ht="18.75" x14ac:dyDescent="0.3">
      <c r="B68" s="31" t="s">
        <v>36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 t="s">
        <v>6</v>
      </c>
    </row>
    <row r="69" spans="2:15" ht="18.75" x14ac:dyDescent="0.3">
      <c r="B69" s="33" t="s">
        <v>73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1" spans="2:15" x14ac:dyDescent="0.2">
      <c r="B71" s="35"/>
      <c r="C71" s="35"/>
      <c r="D71" s="35"/>
      <c r="E71" s="35"/>
      <c r="F71" s="36" t="s">
        <v>38</v>
      </c>
      <c r="G71" s="36" t="s">
        <v>39</v>
      </c>
      <c r="H71" s="36" t="s">
        <v>40</v>
      </c>
      <c r="I71" s="36" t="s">
        <v>41</v>
      </c>
      <c r="J71" s="36" t="s">
        <v>42</v>
      </c>
      <c r="K71" s="36" t="s">
        <v>43</v>
      </c>
      <c r="L71" s="36" t="s">
        <v>44</v>
      </c>
      <c r="M71" s="36" t="s">
        <v>45</v>
      </c>
      <c r="N71" s="36" t="s">
        <v>46</v>
      </c>
      <c r="O71" s="36" t="s">
        <v>47</v>
      </c>
    </row>
    <row r="72" spans="2:15" x14ac:dyDescent="0.2">
      <c r="B72" s="26" t="s">
        <v>72</v>
      </c>
      <c r="F72" s="26">
        <f t="shared" ref="F72:O72" si="19">F65</f>
        <v>7788000</v>
      </c>
      <c r="G72" s="26">
        <f t="shared" si="19"/>
        <v>9425900</v>
      </c>
      <c r="H72" s="26">
        <f t="shared" si="19"/>
        <v>11167090</v>
      </c>
      <c r="I72" s="26">
        <f t="shared" si="19"/>
        <v>13162259.000000004</v>
      </c>
      <c r="J72" s="26">
        <f t="shared" si="19"/>
        <v>15444790.900000006</v>
      </c>
      <c r="K72" s="26">
        <f t="shared" si="19"/>
        <v>18052206.590000007</v>
      </c>
      <c r="L72" s="26">
        <f t="shared" si="19"/>
        <v>21026657.509000011</v>
      </c>
      <c r="M72" s="26">
        <f t="shared" si="19"/>
        <v>24415476.545900017</v>
      </c>
      <c r="N72" s="26">
        <f t="shared" si="19"/>
        <v>26880603.677400019</v>
      </c>
      <c r="O72" s="26">
        <f t="shared" si="19"/>
        <v>29568664.045140024</v>
      </c>
    </row>
    <row r="73" spans="2:15" ht="5.25" customHeight="1" x14ac:dyDescent="0.2"/>
    <row r="74" spans="2:15" x14ac:dyDescent="0.2">
      <c r="B74" s="27" t="s">
        <v>74</v>
      </c>
    </row>
    <row r="75" spans="2:15" x14ac:dyDescent="0.2">
      <c r="B75" s="28" t="s">
        <v>75</v>
      </c>
      <c r="F75" s="26">
        <f>('Input Sheet'!$D39*(1+F$11))*F$61</f>
        <v>2920500</v>
      </c>
      <c r="G75" s="26">
        <f>('Input Sheet'!$D39*(1+G$11))*G$61</f>
        <v>3534712.5</v>
      </c>
      <c r="H75" s="26">
        <f>('Input Sheet'!$D39*(1+H$11))*H$61</f>
        <v>4187658.75</v>
      </c>
      <c r="I75" s="26">
        <f>('Input Sheet'!$D39*(1+I$11))*I$61</f>
        <v>4935847.1250000019</v>
      </c>
      <c r="J75" s="26">
        <f>('Input Sheet'!$D39*(1+J$11))*J$61</f>
        <v>5791796.5875000022</v>
      </c>
      <c r="K75" s="26">
        <f>('Input Sheet'!$D39*(1+K$11))*K$61</f>
        <v>6769577.4712500032</v>
      </c>
      <c r="L75" s="26">
        <f>('Input Sheet'!$D39*(1+L$11))*L$61</f>
        <v>7884996.5658750031</v>
      </c>
      <c r="M75" s="26">
        <f>('Input Sheet'!$D39*(1+M$11))*M$61</f>
        <v>9155803.7047125064</v>
      </c>
      <c r="N75" s="26">
        <f>('Input Sheet'!$D39*(1+N$11))*N$61</f>
        <v>10080226.379025007</v>
      </c>
      <c r="O75" s="26">
        <f>('Input Sheet'!$D39*(1+O$11))*O$61</f>
        <v>11088249.01692751</v>
      </c>
    </row>
    <row r="76" spans="2:15" x14ac:dyDescent="0.2">
      <c r="B76" s="28" t="s">
        <v>76</v>
      </c>
      <c r="F76" s="114">
        <f>('Input Sheet'!$D40*(1+F$11))*F$61</f>
        <v>486750</v>
      </c>
      <c r="G76" s="114">
        <f>('Input Sheet'!$D40*(1+G$11))*G$61</f>
        <v>589118.75</v>
      </c>
      <c r="H76" s="114">
        <f>('Input Sheet'!$D40*(1+H$11))*H$61</f>
        <v>697943.125</v>
      </c>
      <c r="I76" s="114">
        <f>('Input Sheet'!$D40*(1+I$11))*I$61</f>
        <v>822641.18750000023</v>
      </c>
      <c r="J76" s="114">
        <f>('Input Sheet'!$D40*(1+J$11))*J$61</f>
        <v>965299.43125000037</v>
      </c>
      <c r="K76" s="114">
        <f>('Input Sheet'!$D40*(1+K$11))*K$61</f>
        <v>1128262.9118750005</v>
      </c>
      <c r="L76" s="114">
        <f>('Input Sheet'!$D40*(1+L$11))*L$61</f>
        <v>1314166.0943125007</v>
      </c>
      <c r="M76" s="114">
        <f>('Input Sheet'!$D40*(1+M$11))*M$61</f>
        <v>1525967.2841187511</v>
      </c>
      <c r="N76" s="114">
        <f>('Input Sheet'!$D40*(1+N$11))*N$61</f>
        <v>1680037.7298375012</v>
      </c>
      <c r="O76" s="114">
        <f>('Input Sheet'!$D40*(1+O$11))*O$61</f>
        <v>1848041.5028212515</v>
      </c>
    </row>
    <row r="77" spans="2:15" x14ac:dyDescent="0.2">
      <c r="B77" s="28" t="s">
        <v>159</v>
      </c>
      <c r="F77" s="114">
        <f>('Input Sheet'!$D41*(1+F$11))*F$61</f>
        <v>243375</v>
      </c>
      <c r="G77" s="114">
        <f>('Input Sheet'!$D41*(1+G$11))*G$61</f>
        <v>294559.375</v>
      </c>
      <c r="H77" s="114">
        <f>('Input Sheet'!$D41*(1+H$11))*H$61</f>
        <v>348971.5625</v>
      </c>
      <c r="I77" s="114">
        <f>('Input Sheet'!$D41*(1+I$11))*I$61</f>
        <v>411320.59375000012</v>
      </c>
      <c r="J77" s="114">
        <f>('Input Sheet'!$D41*(1+J$11))*J$61</f>
        <v>482649.71562500019</v>
      </c>
      <c r="K77" s="114">
        <f>('Input Sheet'!$D41*(1+K$11))*K$61</f>
        <v>564131.45593750023</v>
      </c>
      <c r="L77" s="114">
        <f>('Input Sheet'!$D41*(1+L$11))*L$61</f>
        <v>657083.04715625034</v>
      </c>
      <c r="M77" s="114">
        <f>('Input Sheet'!$D41*(1+M$11))*M$61</f>
        <v>762983.64205937553</v>
      </c>
      <c r="N77" s="114">
        <f>('Input Sheet'!$D41*(1+N$11))*N$61</f>
        <v>840018.86491875059</v>
      </c>
      <c r="O77" s="114">
        <f>('Input Sheet'!$D41*(1+O$11))*O$61</f>
        <v>924020.75141062576</v>
      </c>
    </row>
    <row r="78" spans="2:15" x14ac:dyDescent="0.2">
      <c r="B78" s="28" t="s">
        <v>318</v>
      </c>
      <c r="F78" s="26">
        <f>'Input Sheet'!$E68*12*(1+F$13)</f>
        <v>1140000</v>
      </c>
      <c r="G78" s="26">
        <f>'Input Sheet'!$E68*12*(1+G$15)</f>
        <v>1254000</v>
      </c>
      <c r="H78" s="26">
        <f>'Input Sheet'!$E68*12*(1+H$15)</f>
        <v>1379400.0000000002</v>
      </c>
      <c r="I78" s="26">
        <f>'Input Sheet'!$E68*12*(1+I$15)</f>
        <v>1517340.0000000005</v>
      </c>
      <c r="J78" s="26">
        <f>'Input Sheet'!$E68*12*(1+J$15)</f>
        <v>1669074.0000000007</v>
      </c>
      <c r="K78" s="26">
        <f>'Input Sheet'!$E68*12*(1+K$15)</f>
        <v>1835981.4000000008</v>
      </c>
      <c r="L78" s="26">
        <f>'Input Sheet'!$E68*12*(1+L$15)</f>
        <v>2019579.5400000012</v>
      </c>
      <c r="M78" s="26">
        <f>'Input Sheet'!$E68*12*(1+M$15)</f>
        <v>2221537.4940000018</v>
      </c>
      <c r="N78" s="26">
        <f>'Input Sheet'!$E68*12*(1+N$15)</f>
        <v>2443691.2434000019</v>
      </c>
      <c r="O78" s="26">
        <f>'Input Sheet'!$E68*12*(1+O$15)</f>
        <v>2688060.367740002</v>
      </c>
    </row>
    <row r="79" spans="2:15" x14ac:dyDescent="0.2">
      <c r="B79" s="28" t="s">
        <v>320</v>
      </c>
      <c r="E79" s="114"/>
      <c r="F79" s="26">
        <f>('Input Sheet'!$D42*(1+F$13))*12</f>
        <v>60000</v>
      </c>
      <c r="G79" s="26">
        <f>('Input Sheet'!$D42*(1+G$13))*12</f>
        <v>66000</v>
      </c>
      <c r="H79" s="26">
        <f>('Input Sheet'!$D42*(1+H$13))*12</f>
        <v>72600.000000000015</v>
      </c>
      <c r="I79" s="26">
        <f>('Input Sheet'!$D42*(1+I$13))*12</f>
        <v>79860.000000000029</v>
      </c>
      <c r="J79" s="26">
        <f>('Input Sheet'!$D42*(1+J$13))*12</f>
        <v>87846.000000000029</v>
      </c>
      <c r="K79" s="26">
        <f>('Input Sheet'!$D42*(1+K$13))*12</f>
        <v>96630.600000000049</v>
      </c>
      <c r="L79" s="26">
        <f>('Input Sheet'!$D42*(1+L$13))*12</f>
        <v>106293.66000000006</v>
      </c>
      <c r="M79" s="26">
        <f>('Input Sheet'!$D42*(1+M$13))*12</f>
        <v>116923.02600000007</v>
      </c>
      <c r="N79" s="26">
        <f>('Input Sheet'!$D42*(1+N$13))*12</f>
        <v>128615.3286000001</v>
      </c>
      <c r="O79" s="26">
        <f>('Input Sheet'!$D42*(1+O$13))*12</f>
        <v>141476.8614600001</v>
      </c>
    </row>
    <row r="80" spans="2:15" x14ac:dyDescent="0.2">
      <c r="B80" s="115" t="s">
        <v>78</v>
      </c>
      <c r="C80" s="115"/>
      <c r="D80" s="115"/>
      <c r="E80" s="115"/>
      <c r="F80" s="115">
        <f t="shared" ref="F80:O80" si="20">SUM(F75:F79)</f>
        <v>4850625</v>
      </c>
      <c r="G80" s="115">
        <f t="shared" si="20"/>
        <v>5738390.625</v>
      </c>
      <c r="H80" s="115">
        <f t="shared" si="20"/>
        <v>6686573.4375</v>
      </c>
      <c r="I80" s="115">
        <f t="shared" si="20"/>
        <v>7767008.9062500019</v>
      </c>
      <c r="J80" s="115">
        <f t="shared" si="20"/>
        <v>8996665.7343750037</v>
      </c>
      <c r="K80" s="115">
        <f t="shared" si="20"/>
        <v>10394583.839062504</v>
      </c>
      <c r="L80" s="115">
        <f t="shared" si="20"/>
        <v>11982118.907343755</v>
      </c>
      <c r="M80" s="115">
        <f t="shared" si="20"/>
        <v>13783215.150890637</v>
      </c>
      <c r="N80" s="115">
        <f t="shared" si="20"/>
        <v>15172589.54578126</v>
      </c>
      <c r="O80" s="115">
        <f t="shared" si="20"/>
        <v>16689848.50035939</v>
      </c>
    </row>
    <row r="81" spans="2:15" ht="13.5" thickBot="1" x14ac:dyDescent="0.25">
      <c r="B81" s="30" t="s">
        <v>1</v>
      </c>
      <c r="C81" s="30"/>
      <c r="D81" s="30"/>
      <c r="E81" s="30"/>
      <c r="F81" s="30">
        <f t="shared" ref="F81:O81" si="21">F72-F80</f>
        <v>2937375</v>
      </c>
      <c r="G81" s="30">
        <f t="shared" si="21"/>
        <v>3687509.375</v>
      </c>
      <c r="H81" s="30">
        <f t="shared" si="21"/>
        <v>4480516.5625</v>
      </c>
      <c r="I81" s="30">
        <f t="shared" si="21"/>
        <v>5395250.0937500019</v>
      </c>
      <c r="J81" s="30">
        <f t="shared" si="21"/>
        <v>6448125.1656250022</v>
      </c>
      <c r="K81" s="30">
        <f t="shared" si="21"/>
        <v>7657622.7509375028</v>
      </c>
      <c r="L81" s="30">
        <f t="shared" si="21"/>
        <v>9044538.6016562562</v>
      </c>
      <c r="M81" s="30">
        <f t="shared" si="21"/>
        <v>10632261.39500938</v>
      </c>
      <c r="N81" s="30">
        <f t="shared" si="21"/>
        <v>11708014.131618759</v>
      </c>
      <c r="O81" s="30">
        <f t="shared" si="21"/>
        <v>12878815.544780634</v>
      </c>
    </row>
    <row r="83" spans="2:15" ht="15" x14ac:dyDescent="0.25">
      <c r="B83" s="41" t="s">
        <v>79</v>
      </c>
    </row>
    <row r="84" spans="2:15" x14ac:dyDescent="0.2">
      <c r="B84" s="28" t="s">
        <v>319</v>
      </c>
      <c r="F84" s="26">
        <f>'Input Sheet'!$E84*12*(1+F$15)</f>
        <v>1020000</v>
      </c>
      <c r="G84" s="26">
        <f>'Input Sheet'!$E84*12*(1+G$15)</f>
        <v>1122000</v>
      </c>
      <c r="H84" s="26">
        <f>'Input Sheet'!$E84*12*(1+H$15)</f>
        <v>1234200.0000000002</v>
      </c>
      <c r="I84" s="26">
        <f>'Input Sheet'!$E84*12*(1+I$15)</f>
        <v>1357620.0000000005</v>
      </c>
      <c r="J84" s="26">
        <f>'Input Sheet'!$E84*12*(1+J$15)</f>
        <v>1493382.0000000007</v>
      </c>
      <c r="K84" s="26">
        <f>'Input Sheet'!$E84*12*(1+K$15)</f>
        <v>1642720.2000000009</v>
      </c>
      <c r="L84" s="26">
        <f>'Input Sheet'!$E84*12*(1+L$15)</f>
        <v>1806992.2200000011</v>
      </c>
      <c r="M84" s="26">
        <f>'Input Sheet'!$E84*12*(1+M$15)</f>
        <v>1987691.4420000014</v>
      </c>
      <c r="N84" s="26">
        <f>'Input Sheet'!$E84*12*(1+N$15)</f>
        <v>2186460.5862000016</v>
      </c>
      <c r="O84" s="26">
        <f>'Input Sheet'!$E84*12*(1+O$15)</f>
        <v>2405106.6448200019</v>
      </c>
    </row>
    <row r="85" spans="2:15" x14ac:dyDescent="0.2">
      <c r="B85" s="28" t="s">
        <v>81</v>
      </c>
      <c r="F85" s="26">
        <f>'Input Sheet'!$E$25*12*(1+F$17)</f>
        <v>180000</v>
      </c>
      <c r="G85" s="26">
        <f>'Input Sheet'!$E$25*12*(1+G$17)</f>
        <v>198000.00000000003</v>
      </c>
      <c r="H85" s="26">
        <f>'Input Sheet'!$E$25*12*(1+H$17)</f>
        <v>217800.00000000003</v>
      </c>
      <c r="I85" s="26">
        <f>'Input Sheet'!$E$25*12*(1+I$17)</f>
        <v>239580.00000000009</v>
      </c>
      <c r="J85" s="26">
        <f>'Input Sheet'!$E$25*12*(1+J$17)</f>
        <v>263538.00000000012</v>
      </c>
      <c r="K85" s="26">
        <f>'Input Sheet'!$E$25*12*(1+K$17)</f>
        <v>289891.80000000016</v>
      </c>
      <c r="L85" s="26">
        <f>'Input Sheet'!$E$25*12*(1+L$17)</f>
        <v>318880.98000000021</v>
      </c>
      <c r="M85" s="26">
        <f>'Input Sheet'!$E$25*12*(1+M$17)</f>
        <v>350769.07800000027</v>
      </c>
      <c r="N85" s="26">
        <f>'Input Sheet'!$E$25*12*(1+N$17)</f>
        <v>385845.98580000026</v>
      </c>
      <c r="O85" s="26">
        <f>'Input Sheet'!$E$25*12*(1+O$17)</f>
        <v>424430.58438000036</v>
      </c>
    </row>
    <row r="86" spans="2:15" x14ac:dyDescent="0.2">
      <c r="B86" s="28" t="s">
        <v>82</v>
      </c>
      <c r="F86" s="26">
        <f>'Input Sheet'!$D43*12*(1+F$13)</f>
        <v>180000</v>
      </c>
      <c r="G86" s="26">
        <f>'Input Sheet'!$D43*12*(1+G$13)</f>
        <v>198000.00000000003</v>
      </c>
      <c r="H86" s="26">
        <f>'Input Sheet'!$D43*12*(1+H$13)</f>
        <v>217800.00000000003</v>
      </c>
      <c r="I86" s="26">
        <f>'Input Sheet'!$D43*12*(1+I$13)</f>
        <v>239580.00000000009</v>
      </c>
      <c r="J86" s="26">
        <f>'Input Sheet'!$D43*12*(1+J$13)</f>
        <v>263538.00000000012</v>
      </c>
      <c r="K86" s="26">
        <f>'Input Sheet'!$D43*12*(1+K$13)</f>
        <v>289891.80000000016</v>
      </c>
      <c r="L86" s="26">
        <f>'Input Sheet'!$D43*12*(1+L$13)</f>
        <v>318880.98000000021</v>
      </c>
      <c r="M86" s="26">
        <f>'Input Sheet'!$D43*12*(1+M$13)</f>
        <v>350769.07800000027</v>
      </c>
      <c r="N86" s="26">
        <f>'Input Sheet'!$D43*12*(1+N$13)</f>
        <v>385845.98580000026</v>
      </c>
      <c r="O86" s="26">
        <f>'Input Sheet'!$D43*12*(1+O$13)</f>
        <v>424430.58438000036</v>
      </c>
    </row>
    <row r="87" spans="2:15" x14ac:dyDescent="0.2">
      <c r="B87" s="28" t="s">
        <v>83</v>
      </c>
      <c r="F87" s="26">
        <f>'Input Sheet'!$D44*12*(1+F$13)</f>
        <v>60000</v>
      </c>
      <c r="G87" s="26">
        <f>'Input Sheet'!$D44*12*(1+G$13)</f>
        <v>66000</v>
      </c>
      <c r="H87" s="26">
        <f>'Input Sheet'!$D44*12*(1+H$13)</f>
        <v>72600.000000000015</v>
      </c>
      <c r="I87" s="26">
        <f>'Input Sheet'!$D44*12*(1+I$13)</f>
        <v>79860.000000000029</v>
      </c>
      <c r="J87" s="26">
        <f>'Input Sheet'!$D44*12*(1+J$13)</f>
        <v>87846.000000000044</v>
      </c>
      <c r="K87" s="26">
        <f>'Input Sheet'!$D44*12*(1+K$13)</f>
        <v>96630.600000000049</v>
      </c>
      <c r="L87" s="26">
        <f>'Input Sheet'!$D44*12*(1+L$13)</f>
        <v>106293.66000000006</v>
      </c>
      <c r="M87" s="26">
        <f>'Input Sheet'!$D44*12*(1+M$13)</f>
        <v>116923.02600000009</v>
      </c>
      <c r="N87" s="26">
        <f>'Input Sheet'!$D44*12*(1+N$13)</f>
        <v>128615.3286000001</v>
      </c>
      <c r="O87" s="26">
        <f>'Input Sheet'!$D44*12*(1+O$13)</f>
        <v>141476.8614600001</v>
      </c>
    </row>
    <row r="88" spans="2:15" x14ac:dyDescent="0.2">
      <c r="B88" s="28" t="s">
        <v>84</v>
      </c>
      <c r="F88" s="26">
        <f>'Input Sheet'!$D45*12*(1+F$13)</f>
        <v>36000</v>
      </c>
      <c r="G88" s="26">
        <f>'Input Sheet'!$D45*12*(1+G$13)</f>
        <v>39600</v>
      </c>
      <c r="H88" s="26">
        <f>'Input Sheet'!$D45*12*(1+H$13)</f>
        <v>43560.000000000007</v>
      </c>
      <c r="I88" s="26">
        <f>'Input Sheet'!$D45*12*(1+I$13)</f>
        <v>47916.000000000015</v>
      </c>
      <c r="J88" s="26">
        <f>'Input Sheet'!$D45*12*(1+J$13)</f>
        <v>52707.60000000002</v>
      </c>
      <c r="K88" s="26">
        <f>'Input Sheet'!$D45*12*(1+K$13)</f>
        <v>57978.36000000003</v>
      </c>
      <c r="L88" s="26">
        <f>'Input Sheet'!$D45*12*(1+L$13)</f>
        <v>63776.19600000004</v>
      </c>
      <c r="M88" s="26">
        <f>'Input Sheet'!$D45*12*(1+M$13)</f>
        <v>70153.815600000045</v>
      </c>
      <c r="N88" s="26">
        <f>'Input Sheet'!$D45*12*(1+N$13)</f>
        <v>77169.197160000054</v>
      </c>
      <c r="O88" s="26">
        <f>'Input Sheet'!$D45*12*(1+O$13)</f>
        <v>84886.116876000073</v>
      </c>
    </row>
    <row r="89" spans="2:15" x14ac:dyDescent="0.2">
      <c r="B89" s="28" t="s">
        <v>25</v>
      </c>
      <c r="F89" s="26">
        <f>'Input Sheet'!$D46*12*(1+F$13)</f>
        <v>72000</v>
      </c>
      <c r="G89" s="26">
        <f>'Input Sheet'!$D46*12*(1+G$13)</f>
        <v>79200</v>
      </c>
      <c r="H89" s="26">
        <f>'Input Sheet'!$D46*12*(1+H$13)</f>
        <v>87120.000000000015</v>
      </c>
      <c r="I89" s="26">
        <f>'Input Sheet'!$D46*12*(1+I$13)</f>
        <v>95832.000000000029</v>
      </c>
      <c r="J89" s="26">
        <f>'Input Sheet'!$D46*12*(1+J$13)</f>
        <v>105415.20000000004</v>
      </c>
      <c r="K89" s="26">
        <f>'Input Sheet'!$D46*12*(1+K$13)</f>
        <v>115956.72000000006</v>
      </c>
      <c r="L89" s="26">
        <f>'Input Sheet'!$D46*12*(1+L$13)</f>
        <v>127552.39200000008</v>
      </c>
      <c r="M89" s="26">
        <f>'Input Sheet'!$D46*12*(1+M$13)</f>
        <v>140307.63120000009</v>
      </c>
      <c r="N89" s="26">
        <f>'Input Sheet'!$D46*12*(1+N$13)</f>
        <v>154338.39432000011</v>
      </c>
      <c r="O89" s="26">
        <f>'Input Sheet'!$D46*12*(1+O$13)</f>
        <v>169772.23375200015</v>
      </c>
    </row>
    <row r="90" spans="2:15" x14ac:dyDescent="0.2">
      <c r="B90" s="28" t="s">
        <v>312</v>
      </c>
      <c r="F90" s="26">
        <f>'Input Sheet'!$D47*12*(1+F$13)</f>
        <v>60000</v>
      </c>
      <c r="G90" s="26">
        <f>'Input Sheet'!$D47*12*(1+G$13)</f>
        <v>66000</v>
      </c>
      <c r="H90" s="26">
        <f>'Input Sheet'!$D47*12*(1+H$13)</f>
        <v>72600.000000000015</v>
      </c>
      <c r="I90" s="26">
        <f>'Input Sheet'!$D47*12*(1+I$13)</f>
        <v>79860.000000000029</v>
      </c>
      <c r="J90" s="26">
        <f>'Input Sheet'!$D47*12*(1+J$13)</f>
        <v>87846.000000000044</v>
      </c>
      <c r="K90" s="26">
        <f>'Input Sheet'!$D47*12*(1+K$13)</f>
        <v>96630.600000000049</v>
      </c>
      <c r="L90" s="26">
        <f>'Input Sheet'!$D47*12*(1+L$13)</f>
        <v>106293.66000000006</v>
      </c>
      <c r="M90" s="26">
        <f>'Input Sheet'!$D47*12*(1+M$13)</f>
        <v>116923.02600000009</v>
      </c>
      <c r="N90" s="26">
        <f>'Input Sheet'!$D47*12*(1+N$13)</f>
        <v>128615.3286000001</v>
      </c>
      <c r="O90" s="26">
        <f>'Input Sheet'!$D47*12*(1+O$13)</f>
        <v>141476.8614600001</v>
      </c>
    </row>
    <row r="91" spans="2:15" x14ac:dyDescent="0.2">
      <c r="B91" s="28" t="s">
        <v>26</v>
      </c>
      <c r="F91" s="26">
        <f>'Input Sheet'!$D48*12*(1+F$13)</f>
        <v>180000</v>
      </c>
      <c r="G91" s="26">
        <f>'Input Sheet'!$D48*12*(1+G$13)</f>
        <v>198000.00000000003</v>
      </c>
      <c r="H91" s="26">
        <f>'Input Sheet'!$D48*12*(1+H$13)</f>
        <v>217800.00000000003</v>
      </c>
      <c r="I91" s="26">
        <f>'Input Sheet'!$D48*12*(1+I$13)</f>
        <v>239580.00000000009</v>
      </c>
      <c r="J91" s="26">
        <f>'Input Sheet'!$D48*12*(1+J$13)</f>
        <v>263538.00000000012</v>
      </c>
      <c r="K91" s="26">
        <f>'Input Sheet'!$D48*12*(1+K$13)</f>
        <v>289891.80000000016</v>
      </c>
      <c r="L91" s="26">
        <f>'Input Sheet'!$D48*12*(1+L$13)</f>
        <v>318880.98000000021</v>
      </c>
      <c r="M91" s="26">
        <f>'Input Sheet'!$D48*12*(1+M$13)</f>
        <v>350769.07800000027</v>
      </c>
      <c r="N91" s="26">
        <f>'Input Sheet'!$D48*12*(1+N$13)</f>
        <v>385845.98580000026</v>
      </c>
      <c r="O91" s="26">
        <f>'Input Sheet'!$D48*12*(1+O$13)</f>
        <v>424430.58438000036</v>
      </c>
    </row>
    <row r="92" spans="2:15" x14ac:dyDescent="0.2">
      <c r="B92" s="28" t="s">
        <v>346</v>
      </c>
      <c r="F92" s="26">
        <f>'Input Sheet'!$D49*12*(1+F$13)</f>
        <v>48000</v>
      </c>
      <c r="G92" s="26">
        <f>'Input Sheet'!$D49*12*(1+G$13)</f>
        <v>52800.000000000007</v>
      </c>
      <c r="H92" s="26">
        <f>'Input Sheet'!$D49*12*(1+H$13)</f>
        <v>58080.000000000007</v>
      </c>
      <c r="I92" s="26">
        <f>'Input Sheet'!$D49*12*(1+I$13)</f>
        <v>63888.000000000022</v>
      </c>
      <c r="J92" s="26">
        <f>'Input Sheet'!$D49*12*(1+J$13)</f>
        <v>70276.800000000032</v>
      </c>
      <c r="K92" s="26">
        <f>'Input Sheet'!$D49*12*(1+K$13)</f>
        <v>77304.48000000004</v>
      </c>
      <c r="L92" s="26">
        <f>'Input Sheet'!$D49*12*(1+L$13)</f>
        <v>85034.928000000044</v>
      </c>
      <c r="M92" s="26">
        <f>'Input Sheet'!$D49*12*(1+M$13)</f>
        <v>93538.420800000065</v>
      </c>
      <c r="N92" s="26">
        <f>'Input Sheet'!$D49*12*(1+N$13)</f>
        <v>102892.26288000008</v>
      </c>
      <c r="O92" s="26">
        <f>'Input Sheet'!$D49*12*(1+O$13)</f>
        <v>113181.48916800009</v>
      </c>
    </row>
    <row r="93" spans="2:15" x14ac:dyDescent="0.2">
      <c r="B93" s="28" t="s">
        <v>27</v>
      </c>
      <c r="F93" s="26">
        <f>'Input Sheet'!$D50*12*(1+F$13)</f>
        <v>120000</v>
      </c>
      <c r="G93" s="26">
        <f>'Input Sheet'!$D50*12*(1+G$13)</f>
        <v>132000</v>
      </c>
      <c r="H93" s="26">
        <f>'Input Sheet'!$D50*12*(1+H$13)</f>
        <v>145200.00000000003</v>
      </c>
      <c r="I93" s="26">
        <f>'Input Sheet'!$D50*12*(1+I$13)</f>
        <v>159720.00000000006</v>
      </c>
      <c r="J93" s="26">
        <f>'Input Sheet'!$D50*12*(1+J$13)</f>
        <v>175692.00000000009</v>
      </c>
      <c r="K93" s="26">
        <f>'Input Sheet'!$D50*12*(1+K$13)</f>
        <v>193261.2000000001</v>
      </c>
      <c r="L93" s="26">
        <f>'Input Sheet'!$D50*12*(1+L$13)</f>
        <v>212587.32000000012</v>
      </c>
      <c r="M93" s="26">
        <f>'Input Sheet'!$D50*12*(1+M$13)</f>
        <v>233846.05200000017</v>
      </c>
      <c r="N93" s="26">
        <f>'Input Sheet'!$D50*12*(1+N$13)</f>
        <v>257230.65720000019</v>
      </c>
      <c r="O93" s="26">
        <f>'Input Sheet'!$D50*12*(1+O$13)</f>
        <v>282953.7229200002</v>
      </c>
    </row>
    <row r="94" spans="2:15" x14ac:dyDescent="0.2">
      <c r="B94" s="28" t="s">
        <v>28</v>
      </c>
      <c r="F94" s="26">
        <f>'Input Sheet'!$D51*12*(1+F$13)</f>
        <v>60000</v>
      </c>
      <c r="G94" s="26">
        <f>'Input Sheet'!$D51*12*(1+G$13)</f>
        <v>66000</v>
      </c>
      <c r="H94" s="26">
        <f>'Input Sheet'!$D51*12*(1+H$13)</f>
        <v>72600.000000000015</v>
      </c>
      <c r="I94" s="26">
        <f>'Input Sheet'!$D51*12*(1+I$13)</f>
        <v>79860.000000000029</v>
      </c>
      <c r="J94" s="26">
        <f>'Input Sheet'!$D51*12*(1+J$13)</f>
        <v>87846.000000000044</v>
      </c>
      <c r="K94" s="26">
        <f>'Input Sheet'!$D51*12*(1+K$13)</f>
        <v>96630.600000000049</v>
      </c>
      <c r="L94" s="26">
        <f>'Input Sheet'!$D51*12*(1+L$13)</f>
        <v>106293.66000000006</v>
      </c>
      <c r="M94" s="26">
        <f>'Input Sheet'!$D51*12*(1+M$13)</f>
        <v>116923.02600000009</v>
      </c>
      <c r="N94" s="26">
        <f>'Input Sheet'!$D51*12*(1+N$13)</f>
        <v>128615.3286000001</v>
      </c>
      <c r="O94" s="26">
        <f>'Input Sheet'!$D51*12*(1+O$13)</f>
        <v>141476.8614600001</v>
      </c>
    </row>
    <row r="95" spans="2:15" x14ac:dyDescent="0.2">
      <c r="B95" s="28" t="s">
        <v>244</v>
      </c>
      <c r="F95" s="26">
        <f>'Depreciation Ammortization'!D$53</f>
        <v>490200</v>
      </c>
      <c r="G95" s="26">
        <f>'Depreciation Ammortization'!E$53</f>
        <v>418200</v>
      </c>
      <c r="H95" s="26">
        <f>'Depreciation Ammortization'!F$53</f>
        <v>359025</v>
      </c>
      <c r="I95" s="26">
        <f>'Depreciation Ammortization'!G$53</f>
        <v>310143.75</v>
      </c>
      <c r="J95" s="26">
        <f>'Depreciation Ammortization'!H$53</f>
        <v>269586.9375</v>
      </c>
      <c r="K95" s="26">
        <f>'Depreciation Ammortization'!I$53</f>
        <v>180608.22187499999</v>
      </c>
      <c r="L95" s="26">
        <f>'Depreciation Ammortization'!J$53</f>
        <v>152382.51609374999</v>
      </c>
      <c r="M95" s="26">
        <f>'Depreciation Ammortization'!K$53</f>
        <v>128731.00792968749</v>
      </c>
      <c r="N95" s="26">
        <f>'Depreciation Ammortization'!L$53</f>
        <v>108865.46521523438</v>
      </c>
      <c r="O95" s="26">
        <f>'Depreciation Ammortization'!M$53</f>
        <v>92146.521365449211</v>
      </c>
    </row>
    <row r="96" spans="2:15" x14ac:dyDescent="0.2">
      <c r="B96" s="115" t="s">
        <v>85</v>
      </c>
      <c r="C96" s="115"/>
      <c r="D96" s="115"/>
      <c r="E96" s="115"/>
      <c r="F96" s="115">
        <f t="shared" ref="F96:O96" si="22">SUM(F84:F95)</f>
        <v>2506200</v>
      </c>
      <c r="G96" s="115">
        <f t="shared" si="22"/>
        <v>2635800</v>
      </c>
      <c r="H96" s="115">
        <f t="shared" si="22"/>
        <v>2798385.0000000005</v>
      </c>
      <c r="I96" s="115">
        <f t="shared" si="22"/>
        <v>2993439.7500000005</v>
      </c>
      <c r="J96" s="115">
        <f t="shared" si="22"/>
        <v>3221212.537500001</v>
      </c>
      <c r="K96" s="115">
        <f t="shared" si="22"/>
        <v>3427396.3818750018</v>
      </c>
      <c r="L96" s="115">
        <f t="shared" si="22"/>
        <v>3723849.4920937521</v>
      </c>
      <c r="M96" s="115">
        <f t="shared" si="22"/>
        <v>4057344.68152969</v>
      </c>
      <c r="N96" s="115">
        <f t="shared" si="22"/>
        <v>4430340.5061752377</v>
      </c>
      <c r="O96" s="115">
        <f t="shared" si="22"/>
        <v>4845769.0664214538</v>
      </c>
    </row>
    <row r="97" spans="2:15" ht="13.5" thickBot="1" x14ac:dyDescent="0.25">
      <c r="B97" s="30" t="s">
        <v>86</v>
      </c>
      <c r="C97" s="30"/>
      <c r="D97" s="30"/>
      <c r="E97" s="30"/>
      <c r="F97" s="30">
        <f t="shared" ref="F97:O97" si="23">F81-F96</f>
        <v>431175</v>
      </c>
      <c r="G97" s="30">
        <f t="shared" si="23"/>
        <v>1051709.375</v>
      </c>
      <c r="H97" s="30">
        <f t="shared" si="23"/>
        <v>1682131.5624999995</v>
      </c>
      <c r="I97" s="30">
        <f t="shared" si="23"/>
        <v>2401810.3437500014</v>
      </c>
      <c r="J97" s="30">
        <f t="shared" si="23"/>
        <v>3226912.6281250012</v>
      </c>
      <c r="K97" s="30">
        <f t="shared" si="23"/>
        <v>4230226.369062501</v>
      </c>
      <c r="L97" s="30">
        <f t="shared" si="23"/>
        <v>5320689.1095625041</v>
      </c>
      <c r="M97" s="30">
        <f t="shared" si="23"/>
        <v>6574916.7134796903</v>
      </c>
      <c r="N97" s="30">
        <f t="shared" si="23"/>
        <v>7277673.625443521</v>
      </c>
      <c r="O97" s="30">
        <f t="shared" si="23"/>
        <v>8033046.4783591805</v>
      </c>
    </row>
    <row r="98" spans="2:15" x14ac:dyDescent="0.2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2:15" x14ac:dyDescent="0.2">
      <c r="B99" s="116" t="s">
        <v>329</v>
      </c>
      <c r="F99" s="116">
        <f ca="1">((E122+F122)/2)*'Input Sheet'!$D$104</f>
        <v>0</v>
      </c>
      <c r="G99" s="116">
        <f ca="1">((F122+G122)/2)*'Input Sheet'!$D$104</f>
        <v>0</v>
      </c>
      <c r="H99" s="116">
        <f ca="1">((G122+H122)/2)*'Input Sheet'!$D$104</f>
        <v>0</v>
      </c>
      <c r="I99" s="116">
        <f ca="1">((H122+I122)/2)*'Input Sheet'!$D$104</f>
        <v>0</v>
      </c>
      <c r="J99" s="116">
        <f ca="1">((I122+J122)/2)*'Input Sheet'!$D$104</f>
        <v>0</v>
      </c>
      <c r="K99" s="116">
        <f ca="1">((J122+K122)/2)*'Input Sheet'!$D$104</f>
        <v>0</v>
      </c>
      <c r="L99" s="116">
        <f ca="1">((K122+L122)/2)*'Input Sheet'!$D$104</f>
        <v>0</v>
      </c>
      <c r="M99" s="116">
        <f ca="1">((L122+M122)/2)*'Input Sheet'!$D$104</f>
        <v>0</v>
      </c>
      <c r="N99" s="116">
        <f ca="1">((M122+N122)/2)*'Input Sheet'!$D$104</f>
        <v>0</v>
      </c>
      <c r="O99" s="116">
        <f ca="1">((N122+O122)/2)*'Input Sheet'!$D$104</f>
        <v>0</v>
      </c>
    </row>
    <row r="100" spans="2:15" ht="13.5" thickBot="1" x14ac:dyDescent="0.25">
      <c r="B100" s="30" t="s">
        <v>87</v>
      </c>
      <c r="C100" s="30"/>
      <c r="D100" s="30"/>
      <c r="E100" s="30"/>
      <c r="F100" s="30">
        <f t="shared" ref="F100:O100" ca="1" si="24">SUM(F97,F99:F99)</f>
        <v>431175</v>
      </c>
      <c r="G100" s="30">
        <f t="shared" ca="1" si="24"/>
        <v>1051709.375</v>
      </c>
      <c r="H100" s="30">
        <f t="shared" ca="1" si="24"/>
        <v>1682131.5624999995</v>
      </c>
      <c r="I100" s="30">
        <f t="shared" ca="1" si="24"/>
        <v>2401810.3437500014</v>
      </c>
      <c r="J100" s="30">
        <f t="shared" ca="1" si="24"/>
        <v>3226912.6281250012</v>
      </c>
      <c r="K100" s="30">
        <f t="shared" ca="1" si="24"/>
        <v>4230226.369062501</v>
      </c>
      <c r="L100" s="30">
        <f t="shared" ca="1" si="24"/>
        <v>5320689.1095625041</v>
      </c>
      <c r="M100" s="30">
        <f t="shared" ca="1" si="24"/>
        <v>6574916.7134796903</v>
      </c>
      <c r="N100" s="30">
        <f t="shared" ca="1" si="24"/>
        <v>7277673.625443521</v>
      </c>
      <c r="O100" s="30">
        <f t="shared" ca="1" si="24"/>
        <v>8033046.4783591805</v>
      </c>
    </row>
    <row r="102" spans="2:15" x14ac:dyDescent="0.2">
      <c r="B102" s="116" t="s">
        <v>259</v>
      </c>
      <c r="C102" s="116"/>
      <c r="D102" s="116"/>
      <c r="E102" s="116"/>
      <c r="F102" s="116">
        <f ca="1">((F148+E148)/2)*(((1+('Input Sheet'!$D$102/12))^12)-1)</f>
        <v>0</v>
      </c>
      <c r="G102" s="116">
        <f ca="1">((G148+F148)/2)*(((1+('Input Sheet'!$D$102/12))^12)-1)</f>
        <v>0</v>
      </c>
      <c r="H102" s="116">
        <f ca="1">((H148+G148)/2)*(((1+('Input Sheet'!$D$102/12))^12)-1)</f>
        <v>0</v>
      </c>
      <c r="I102" s="116">
        <f ca="1">((I148+H148)/2)*(((1+('Input Sheet'!$D$102/12))^12)-1)</f>
        <v>0</v>
      </c>
      <c r="J102" s="116">
        <f ca="1">((J148+I148)/2)*(((1+('Input Sheet'!$D$102/12))^12)-1)</f>
        <v>0</v>
      </c>
      <c r="K102" s="116">
        <f ca="1">((K148+J148)/2)*(((1+('Input Sheet'!$D$102/12))^12)-1)</f>
        <v>0</v>
      </c>
      <c r="L102" s="116">
        <f ca="1">((L148+K148)/2)*(((1+('Input Sheet'!$D$102/12))^12)-1)</f>
        <v>0</v>
      </c>
      <c r="M102" s="116">
        <f ca="1">((M148+L148)/2)*(((1+('Input Sheet'!$D$102/12))^12)-1)</f>
        <v>0</v>
      </c>
      <c r="N102" s="116">
        <f ca="1">((N148+M148)/2)*(((1+('Input Sheet'!$D$102/12))^12)-1)</f>
        <v>0</v>
      </c>
      <c r="O102" s="116">
        <f ca="1">((O148+N148)/2)*(((1+('Input Sheet'!$D$102/12))^12)-1)</f>
        <v>0</v>
      </c>
    </row>
    <row r="103" spans="2:15" x14ac:dyDescent="0.2">
      <c r="B103" s="26" t="s">
        <v>314</v>
      </c>
      <c r="F103" s="26">
        <f>'Project Loan'!F23</f>
        <v>90780</v>
      </c>
      <c r="G103" s="26">
        <f>'Project Loan'!F24</f>
        <v>90780</v>
      </c>
      <c r="H103" s="26">
        <f>'Project Loan'!F25</f>
        <v>46712.038834951454</v>
      </c>
      <c r="I103" s="26">
        <f>'Project Loan'!F26</f>
        <v>0</v>
      </c>
      <c r="J103" s="26">
        <f>'Project Loan'!F27</f>
        <v>0</v>
      </c>
      <c r="K103" s="26">
        <f>'Project Loan'!F28</f>
        <v>0</v>
      </c>
      <c r="L103" s="26">
        <f>'Project Loan'!F29</f>
        <v>0</v>
      </c>
      <c r="M103" s="26">
        <f>'Project Loan'!F30</f>
        <v>0</v>
      </c>
      <c r="N103" s="26">
        <f>'Project Loan'!F31</f>
        <v>0</v>
      </c>
      <c r="O103" s="26">
        <f>'Project Loan'!F32</f>
        <v>0</v>
      </c>
    </row>
    <row r="104" spans="2:15" x14ac:dyDescent="0.2">
      <c r="B104" s="26" t="s">
        <v>315</v>
      </c>
      <c r="F104" s="26">
        <f ca="1">'WC Loan'!F23</f>
        <v>43411.736136586915</v>
      </c>
      <c r="G104" s="26">
        <f ca="1">'WC Loan'!F24</f>
        <v>0</v>
      </c>
      <c r="H104" s="26">
        <f ca="1">'WC Loan'!F25</f>
        <v>0</v>
      </c>
      <c r="I104" s="26">
        <f ca="1">'WC Loan'!F26</f>
        <v>0</v>
      </c>
      <c r="J104" s="26">
        <f ca="1">'WC Loan'!F27</f>
        <v>0</v>
      </c>
      <c r="K104" s="26">
        <f ca="1">'WC Loan'!F28</f>
        <v>0</v>
      </c>
      <c r="L104" s="26">
        <f ca="1">'WC Loan'!F29</f>
        <v>0</v>
      </c>
      <c r="M104" s="26">
        <f ca="1">'WC Loan'!F30</f>
        <v>0</v>
      </c>
      <c r="N104" s="26">
        <f ca="1">'WC Loan'!F31</f>
        <v>0</v>
      </c>
      <c r="O104" s="26">
        <f ca="1">'WC Loan'!F32</f>
        <v>0</v>
      </c>
    </row>
    <row r="105" spans="2:15" x14ac:dyDescent="0.2">
      <c r="B105" s="115" t="s">
        <v>85</v>
      </c>
      <c r="C105" s="115"/>
      <c r="D105" s="115"/>
      <c r="E105" s="115"/>
      <c r="F105" s="115">
        <f ca="1">SUM(F102:F104)</f>
        <v>134191.73613658693</v>
      </c>
      <c r="G105" s="115">
        <f t="shared" ref="G105:O105" ca="1" si="25">SUM(G102:G104)</f>
        <v>90780</v>
      </c>
      <c r="H105" s="115">
        <f t="shared" ca="1" si="25"/>
        <v>46712.038834951454</v>
      </c>
      <c r="I105" s="115">
        <f t="shared" ca="1" si="25"/>
        <v>0</v>
      </c>
      <c r="J105" s="115">
        <f t="shared" ca="1" si="25"/>
        <v>0</v>
      </c>
      <c r="K105" s="115">
        <f t="shared" ca="1" si="25"/>
        <v>0</v>
      </c>
      <c r="L105" s="115">
        <f t="shared" ca="1" si="25"/>
        <v>0</v>
      </c>
      <c r="M105" s="115">
        <f t="shared" ca="1" si="25"/>
        <v>0</v>
      </c>
      <c r="N105" s="115">
        <f t="shared" ca="1" si="25"/>
        <v>0</v>
      </c>
      <c r="O105" s="115">
        <f t="shared" ca="1" si="25"/>
        <v>0</v>
      </c>
    </row>
    <row r="106" spans="2:15" ht="13.5" thickBot="1" x14ac:dyDescent="0.25">
      <c r="B106" s="30" t="s">
        <v>88</v>
      </c>
      <c r="C106" s="30"/>
      <c r="D106" s="30"/>
      <c r="E106" s="30"/>
      <c r="F106" s="30">
        <f t="shared" ref="F106:O106" ca="1" si="26">F100-F105</f>
        <v>296983.26386341307</v>
      </c>
      <c r="G106" s="30">
        <f t="shared" ca="1" si="26"/>
        <v>960929.375</v>
      </c>
      <c r="H106" s="30">
        <f t="shared" ca="1" si="26"/>
        <v>1635419.5236650482</v>
      </c>
      <c r="I106" s="30">
        <f t="shared" ca="1" si="26"/>
        <v>2401810.3437500014</v>
      </c>
      <c r="J106" s="30">
        <f t="shared" ca="1" si="26"/>
        <v>3226912.6281250012</v>
      </c>
      <c r="K106" s="30">
        <f t="shared" ca="1" si="26"/>
        <v>4230226.369062501</v>
      </c>
      <c r="L106" s="30">
        <f t="shared" ca="1" si="26"/>
        <v>5320689.1095625041</v>
      </c>
      <c r="M106" s="30">
        <f t="shared" ca="1" si="26"/>
        <v>6574916.7134796903</v>
      </c>
      <c r="N106" s="30">
        <f t="shared" ca="1" si="26"/>
        <v>7277673.625443521</v>
      </c>
      <c r="O106" s="30">
        <f t="shared" ca="1" si="26"/>
        <v>8033046.4783591805</v>
      </c>
    </row>
    <row r="108" spans="2:15" x14ac:dyDescent="0.2">
      <c r="B108" s="26" t="s">
        <v>89</v>
      </c>
      <c r="F108" s="26">
        <f ca="1">'Tax Sheet'!E23</f>
        <v>0</v>
      </c>
      <c r="G108" s="26">
        <f ca="1">'Tax Sheet'!F23</f>
        <v>30116.046875</v>
      </c>
      <c r="H108" s="26">
        <f ca="1">'Tax Sheet'!G23</f>
        <v>136198.24164138344</v>
      </c>
      <c r="I108" s="26">
        <f ca="1">'Tax Sheet'!H23</f>
        <v>270407.1023437503</v>
      </c>
      <c r="J108" s="26">
        <f ca="1">'Tax Sheet'!I23</f>
        <v>467400.69773437537</v>
      </c>
      <c r="K108" s="26">
        <f ca="1">'Tax Sheet'!J23</f>
        <v>754823.24494531285</v>
      </c>
      <c r="L108" s="26">
        <f ca="1">'Tax Sheet'!K23</f>
        <v>1109223.635607814</v>
      </c>
      <c r="M108" s="26">
        <f ca="1">'Tax Sheet'!L23</f>
        <v>1531220.1497178916</v>
      </c>
      <c r="N108" s="26">
        <f ca="1">'Tax Sheet'!M23</f>
        <v>1777185.0689052322</v>
      </c>
      <c r="O108" s="26">
        <f ca="1">'Tax Sheet'!N23</f>
        <v>2041565.5674257132</v>
      </c>
    </row>
    <row r="109" spans="2:15" ht="13.5" thickBot="1" x14ac:dyDescent="0.25">
      <c r="B109" s="29" t="s">
        <v>90</v>
      </c>
      <c r="C109" s="29"/>
      <c r="D109" s="29"/>
      <c r="E109" s="29"/>
      <c r="F109" s="29">
        <f t="shared" ref="F109:O109" ca="1" si="27">F106-F108</f>
        <v>296983.26386341307</v>
      </c>
      <c r="G109" s="29">
        <f t="shared" ca="1" si="27"/>
        <v>930813.328125</v>
      </c>
      <c r="H109" s="29">
        <f t="shared" ca="1" si="27"/>
        <v>1499221.2820236648</v>
      </c>
      <c r="I109" s="29">
        <f t="shared" ca="1" si="27"/>
        <v>2131403.2414062512</v>
      </c>
      <c r="J109" s="29">
        <f t="shared" ca="1" si="27"/>
        <v>2759511.9303906257</v>
      </c>
      <c r="K109" s="29">
        <f t="shared" ca="1" si="27"/>
        <v>3475403.1241171882</v>
      </c>
      <c r="L109" s="29">
        <f t="shared" ca="1" si="27"/>
        <v>4211465.4739546906</v>
      </c>
      <c r="M109" s="29">
        <f t="shared" ca="1" si="27"/>
        <v>5043696.5637617987</v>
      </c>
      <c r="N109" s="29">
        <f t="shared" ca="1" si="27"/>
        <v>5500488.5565382885</v>
      </c>
      <c r="O109" s="29">
        <f t="shared" ca="1" si="27"/>
        <v>5991480.9109334676</v>
      </c>
    </row>
    <row r="111" spans="2:15" x14ac:dyDescent="0.2">
      <c r="B111" s="26" t="s">
        <v>91</v>
      </c>
      <c r="F111" s="26" t="s">
        <v>267</v>
      </c>
      <c r="G111" s="26">
        <f ca="1">F113</f>
        <v>161984.81709202041</v>
      </c>
      <c r="H111" s="26">
        <f t="shared" ref="H111:O111" ca="1" si="28">G113</f>
        <v>823516.20503343455</v>
      </c>
      <c r="I111" s="26">
        <f t="shared" ca="1" si="28"/>
        <v>1846548.4054836635</v>
      </c>
      <c r="J111" s="26">
        <f t="shared" ca="1" si="28"/>
        <v>2832847.2600410865</v>
      </c>
      <c r="K111" s="26">
        <f t="shared" ca="1" si="28"/>
        <v>4169621.4244298451</v>
      </c>
      <c r="L111" s="26">
        <f t="shared" ca="1" si="28"/>
        <v>5928526.0322718229</v>
      </c>
      <c r="M111" s="26">
        <f t="shared" ca="1" si="28"/>
        <v>8093629.8888419308</v>
      </c>
      <c r="N111" s="26">
        <f t="shared" ca="1" si="28"/>
        <v>10690696.230803704</v>
      </c>
      <c r="O111" s="26">
        <f t="shared" ca="1" si="28"/>
        <v>13543561.038968999</v>
      </c>
    </row>
    <row r="112" spans="2:15" x14ac:dyDescent="0.2">
      <c r="B112" s="116" t="s">
        <v>348</v>
      </c>
      <c r="C112" s="116"/>
      <c r="D112" s="116"/>
      <c r="E112" s="116"/>
      <c r="F112" s="116">
        <f ca="1">F194</f>
        <v>134998.44677279069</v>
      </c>
      <c r="G112" s="116">
        <f t="shared" ref="G112:O112" ca="1" si="29">G194</f>
        <v>269281.94018383796</v>
      </c>
      <c r="H112" s="116">
        <f t="shared" ca="1" si="29"/>
        <v>476189.08157141355</v>
      </c>
      <c r="I112" s="116">
        <f t="shared" ca="1" si="29"/>
        <v>1145104.3868488553</v>
      </c>
      <c r="J112" s="116">
        <f t="shared" ca="1" si="29"/>
        <v>1422737.7660047188</v>
      </c>
      <c r="K112" s="116">
        <f t="shared" ca="1" si="29"/>
        <v>1716498.5162746308</v>
      </c>
      <c r="L112" s="116">
        <f t="shared" ca="1" si="29"/>
        <v>2046361.6173806651</v>
      </c>
      <c r="M112" s="116">
        <f t="shared" ca="1" si="29"/>
        <v>2446630.2218015841</v>
      </c>
      <c r="N112" s="116">
        <f t="shared" ca="1" si="29"/>
        <v>2647623.7483782331</v>
      </c>
      <c r="O112" s="116">
        <f t="shared" ca="1" si="29"/>
        <v>3647247.0456414786</v>
      </c>
    </row>
    <row r="113" spans="2:15" ht="13.5" thickBot="1" x14ac:dyDescent="0.25">
      <c r="B113" s="29" t="s">
        <v>265</v>
      </c>
      <c r="C113" s="29"/>
      <c r="D113" s="29"/>
      <c r="E113" s="29"/>
      <c r="F113" s="29">
        <f ca="1">SUM(F109,F111)-F112</f>
        <v>161984.81709062238</v>
      </c>
      <c r="G113" s="29">
        <f t="shared" ref="G113:O113" ca="1" si="30">SUM(G109,G111)-G112</f>
        <v>823516.20503318263</v>
      </c>
      <c r="H113" s="29">
        <f t="shared" ca="1" si="30"/>
        <v>1846548.4054856854</v>
      </c>
      <c r="I113" s="29">
        <f t="shared" ca="1" si="30"/>
        <v>2832847.2600410595</v>
      </c>
      <c r="J113" s="29">
        <f t="shared" ca="1" si="30"/>
        <v>4169621.4244269934</v>
      </c>
      <c r="K113" s="29">
        <f t="shared" ca="1" si="30"/>
        <v>5928526.0322724022</v>
      </c>
      <c r="L113" s="29">
        <f t="shared" ca="1" si="30"/>
        <v>8093629.8888458479</v>
      </c>
      <c r="M113" s="29">
        <f t="shared" ca="1" si="30"/>
        <v>10690696.230802145</v>
      </c>
      <c r="N113" s="29">
        <f t="shared" ca="1" si="30"/>
        <v>13543561.038963761</v>
      </c>
      <c r="O113" s="29">
        <f t="shared" ca="1" si="30"/>
        <v>15887794.904260989</v>
      </c>
    </row>
    <row r="114" spans="2:15" x14ac:dyDescent="0.2">
      <c r="D114" s="111"/>
    </row>
    <row r="115" spans="2:15" ht="9.75" customHeight="1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2:15" ht="18.75" x14ac:dyDescent="0.3">
      <c r="B116" s="31" t="s">
        <v>36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2" t="s">
        <v>6</v>
      </c>
    </row>
    <row r="117" spans="2:15" ht="18.75" x14ac:dyDescent="0.3">
      <c r="B117" s="33" t="s">
        <v>2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9" spans="2:15" x14ac:dyDescent="0.2">
      <c r="B119" s="98"/>
      <c r="C119" s="98"/>
      <c r="D119" s="98"/>
      <c r="E119" s="36" t="s">
        <v>37</v>
      </c>
      <c r="F119" s="36" t="s">
        <v>38</v>
      </c>
      <c r="G119" s="36" t="s">
        <v>39</v>
      </c>
      <c r="H119" s="36" t="s">
        <v>40</v>
      </c>
      <c r="I119" s="36" t="s">
        <v>41</v>
      </c>
      <c r="J119" s="36" t="s">
        <v>42</v>
      </c>
      <c r="K119" s="36" t="s">
        <v>43</v>
      </c>
      <c r="L119" s="36" t="s">
        <v>44</v>
      </c>
      <c r="M119" s="36" t="s">
        <v>45</v>
      </c>
      <c r="N119" s="36" t="s">
        <v>46</v>
      </c>
      <c r="O119" s="36" t="s">
        <v>47</v>
      </c>
    </row>
    <row r="120" spans="2:15" x14ac:dyDescent="0.2">
      <c r="B120" s="353" t="s">
        <v>92</v>
      </c>
      <c r="C120" s="353"/>
      <c r="D120" s="353"/>
    </row>
    <row r="121" spans="2:15" x14ac:dyDescent="0.2">
      <c r="B121" s="27" t="s">
        <v>93</v>
      </c>
    </row>
    <row r="122" spans="2:15" x14ac:dyDescent="0.2">
      <c r="B122" s="28" t="s">
        <v>94</v>
      </c>
      <c r="E122" s="26">
        <f ca="1">E196</f>
        <v>259856.26854301989</v>
      </c>
      <c r="F122" s="26">
        <f t="shared" ref="F122:O122" ca="1" si="31">F196</f>
        <v>394854.71531457518</v>
      </c>
      <c r="G122" s="26">
        <f t="shared" ca="1" si="31"/>
        <v>664136.65550098405</v>
      </c>
      <c r="H122" s="26">
        <f t="shared" ca="1" si="31"/>
        <v>1140325.7370727947</v>
      </c>
      <c r="I122" s="26">
        <f t="shared" ca="1" si="31"/>
        <v>2285430.1239179438</v>
      </c>
      <c r="J122" s="26">
        <f t="shared" ca="1" si="31"/>
        <v>3708167.8899228033</v>
      </c>
      <c r="K122" s="116">
        <f t="shared" ca="1" si="31"/>
        <v>5424666.4062026422</v>
      </c>
      <c r="L122" s="26">
        <f t="shared" ca="1" si="31"/>
        <v>7471028.0235821214</v>
      </c>
      <c r="M122" s="26">
        <f t="shared" ca="1" si="31"/>
        <v>9917658.2453765739</v>
      </c>
      <c r="N122" s="26">
        <f t="shared" ca="1" si="31"/>
        <v>12565281.993757833</v>
      </c>
      <c r="O122" s="26">
        <f t="shared" ca="1" si="31"/>
        <v>16212529.03940881</v>
      </c>
    </row>
    <row r="123" spans="2:15" x14ac:dyDescent="0.2">
      <c r="B123" s="28" t="s">
        <v>95</v>
      </c>
      <c r="F123" s="26">
        <f>('Input Sheet'!$E$90/365)*F72</f>
        <v>320054.7945205479</v>
      </c>
      <c r="G123" s="26">
        <f>('Input Sheet'!$E$90/365)*((G72+F72)/2)</f>
        <v>353710.27397260274</v>
      </c>
      <c r="H123" s="26">
        <f>('Input Sheet'!$E$90/365)*((H72+G72)/2)</f>
        <v>423143.63013698626</v>
      </c>
      <c r="I123" s="26">
        <f>('Input Sheet'!$E$90/365)*((I72+H72)/2)</f>
        <v>499918.13013698632</v>
      </c>
      <c r="J123" s="26">
        <f>('Input Sheet'!$E$90/365)*((J72+I72)/2)</f>
        <v>587816.0938356166</v>
      </c>
      <c r="K123" s="26">
        <f>('Input Sheet'!$E$90/365)*((K72+J72)/2)</f>
        <v>688294.46897260298</v>
      </c>
      <c r="L123" s="26">
        <f>('Input Sheet'!$E$90/365)*((L72+K72)/2)</f>
        <v>802990.35819863051</v>
      </c>
      <c r="M123" s="26">
        <f>('Input Sheet'!$E$90/365)*((M72+L72)/2)</f>
        <v>933742.48058013746</v>
      </c>
      <c r="N123" s="26">
        <f>('Input Sheet'!$E$90/365)*((N72+M72)/2)</f>
        <v>1054029.0456842473</v>
      </c>
      <c r="O123" s="26">
        <f>('Input Sheet'!$E$90/365)*((O72+N72)/2)</f>
        <v>1159916.4600521927</v>
      </c>
    </row>
    <row r="124" spans="2:15" x14ac:dyDescent="0.2">
      <c r="B124" s="28" t="s">
        <v>21</v>
      </c>
      <c r="F124" s="26">
        <f t="shared" ref="F124:O124" si="32">(F80/F61)*F62</f>
        <v>82213.983050847455</v>
      </c>
      <c r="G124" s="26">
        <f t="shared" si="32"/>
        <v>95762.616335044935</v>
      </c>
      <c r="H124" s="26">
        <f t="shared" si="32"/>
        <v>111575.71886174016</v>
      </c>
      <c r="I124" s="26">
        <f t="shared" si="32"/>
        <v>129594.14192853174</v>
      </c>
      <c r="J124" s="26">
        <f t="shared" si="32"/>
        <v>150100.78388946826</v>
      </c>
      <c r="K124" s="26">
        <f t="shared" si="32"/>
        <v>173413.07680477193</v>
      </c>
      <c r="L124" s="26">
        <f t="shared" si="32"/>
        <v>199887.06240239818</v>
      </c>
      <c r="M124" s="26">
        <f t="shared" si="32"/>
        <v>229921.93842574375</v>
      </c>
      <c r="N124" s="26">
        <f t="shared" si="32"/>
        <v>252876.49242968767</v>
      </c>
      <c r="O124" s="26">
        <f t="shared" si="32"/>
        <v>278164.14167265652</v>
      </c>
    </row>
    <row r="125" spans="2:15" x14ac:dyDescent="0.2">
      <c r="B125" s="28" t="s">
        <v>18</v>
      </c>
      <c r="E125" s="26">
        <f>(F79/12)*'Input Sheet'!$D$19*(1+F$13)</f>
        <v>0</v>
      </c>
      <c r="F125" s="26">
        <f>(G79/12)*'Input Sheet'!$D$19*(1+G$13)</f>
        <v>0</v>
      </c>
      <c r="G125" s="26">
        <f>(H79/12)*'Input Sheet'!$D$19*(1+H$13)</f>
        <v>0</v>
      </c>
      <c r="H125" s="26">
        <f>(I79/12)*'Input Sheet'!$D$19*(1+I$13)</f>
        <v>0</v>
      </c>
      <c r="I125" s="26">
        <f>(J79/12)*'Input Sheet'!$D$19*(1+J$13)</f>
        <v>0</v>
      </c>
      <c r="J125" s="26">
        <f>(K79/12)*'Input Sheet'!$D$19*(1+K$13)</f>
        <v>0</v>
      </c>
      <c r="K125" s="26">
        <f>(L79/12)*'Input Sheet'!$D$19*(1+L$13)</f>
        <v>0</v>
      </c>
      <c r="L125" s="26">
        <f>(M79/12)*'Input Sheet'!$D$19*(1+M$13)</f>
        <v>0</v>
      </c>
      <c r="M125" s="26">
        <f>(N79/12)*'Input Sheet'!$D$19*(1+N$13)</f>
        <v>0</v>
      </c>
      <c r="N125" s="26">
        <f>(O79/12)*'Input Sheet'!$D$19*(1+O$13)</f>
        <v>0</v>
      </c>
      <c r="O125" s="26">
        <f>(P79/12)*'Input Sheet'!$D$19*(1+P$13)</f>
        <v>0</v>
      </c>
    </row>
    <row r="126" spans="2:15" x14ac:dyDescent="0.2">
      <c r="B126" s="28" t="s">
        <v>20</v>
      </c>
      <c r="E126" s="26">
        <f>'Input Sheet'!$D$20*(SUM(F75:F77)/12)*(1+E$11)</f>
        <v>152109.375</v>
      </c>
      <c r="F126" s="26">
        <f>'Input Sheet'!$D$20*(SUM(G75:G77)/12)*(1+F$11)</f>
        <v>184099.609375</v>
      </c>
      <c r="G126" s="26">
        <f>'Input Sheet'!$D$20*(SUM(H75:H77)/12)*(1+G$11)</f>
        <v>239917.94921875003</v>
      </c>
      <c r="H126" s="26">
        <f>'Input Sheet'!$D$20*(SUM(I75:I77)/12)*(1+H$11)</f>
        <v>311061.19902343763</v>
      </c>
      <c r="I126" s="26">
        <f>'Input Sheet'!$D$20*(SUM(J75:J77)/12)*(1+I$11)</f>
        <v>401504.23218554712</v>
      </c>
      <c r="J126" s="26">
        <f>'Input Sheet'!$D$20*(SUM(K75:K77)/12)*(1+J$11)</f>
        <v>516215.54039880907</v>
      </c>
      <c r="K126" s="26">
        <f>'Input Sheet'!$D$20*(SUM(L75:L77)/12)*(1+K$11)</f>
        <v>661399.2614222581</v>
      </c>
      <c r="L126" s="26">
        <f>'Input Sheet'!$D$20*(SUM(M75:M77)/12)*(1+L$11)</f>
        <v>844795.03994396899</v>
      </c>
      <c r="M126" s="26">
        <f>'Input Sheet'!$D$20*(SUM(N75:N77)/12)*(1+M$11)</f>
        <v>1023099.4539936003</v>
      </c>
      <c r="N126" s="26">
        <f>'Input Sheet'!$D$20*(SUM(O75:O77)/12)*(1+N$11)</f>
        <v>1237950.3393322567</v>
      </c>
      <c r="O126" s="26">
        <f>'Input Sheet'!$D$20*(SUM(P75:P77)/12)*(1+O$11)</f>
        <v>0</v>
      </c>
    </row>
    <row r="127" spans="2:15" x14ac:dyDescent="0.2">
      <c r="B127" s="28" t="s">
        <v>96</v>
      </c>
      <c r="E127" s="26">
        <f>IF(E28=10,0,'Input Sheet'!$E$25*3*(1+F$17))</f>
        <v>45000</v>
      </c>
      <c r="F127" s="26">
        <f>IF(F28=10,0,'Input Sheet'!$E$25*3*(1+G$17))</f>
        <v>49500.000000000007</v>
      </c>
      <c r="G127" s="26">
        <f>IF(G28=10,0,'Input Sheet'!$E$25*3*(1+H$17))</f>
        <v>54450.000000000007</v>
      </c>
      <c r="H127" s="26">
        <f>IF(H28=10,0,'Input Sheet'!$E$25*3*(1+I$17))</f>
        <v>59895.000000000022</v>
      </c>
      <c r="I127" s="26">
        <f>IF(I28=10,0,'Input Sheet'!$E$25*3*(1+J$17))</f>
        <v>65884.500000000029</v>
      </c>
      <c r="J127" s="26">
        <f>IF(J28=10,0,'Input Sheet'!$E$25*3*(1+K$17))</f>
        <v>72472.950000000041</v>
      </c>
      <c r="K127" s="26">
        <f>IF(K28=10,0,'Input Sheet'!$E$25*3*(1+L$17))</f>
        <v>79720.245000000054</v>
      </c>
      <c r="L127" s="26">
        <f>IF(L28=10,0,'Input Sheet'!$E$25*3*(1+M$17))</f>
        <v>87692.269500000068</v>
      </c>
      <c r="M127" s="26">
        <f>IF(M28=10,0,'Input Sheet'!$E$25*3*(1+N$17))</f>
        <v>96461.496450000064</v>
      </c>
      <c r="N127" s="26">
        <f>IF(N28=10,0,'Input Sheet'!$E$25*3*(1+O$17))</f>
        <v>106107.64609500009</v>
      </c>
      <c r="O127" s="26">
        <f>IF(O28=10,0,'Input Sheet'!$E$25*3*(1+P$17))</f>
        <v>0</v>
      </c>
    </row>
    <row r="128" spans="2:15" x14ac:dyDescent="0.2">
      <c r="B128" s="115" t="s">
        <v>97</v>
      </c>
      <c r="C128" s="115"/>
      <c r="D128" s="115"/>
      <c r="E128" s="115">
        <f t="shared" ref="E128:O128" ca="1" si="33">SUM(E122:E127)</f>
        <v>456965.64354301989</v>
      </c>
      <c r="F128" s="115">
        <f t="shared" ca="1" si="33"/>
        <v>1030723.1022609705</v>
      </c>
      <c r="G128" s="115">
        <f t="shared" ca="1" si="33"/>
        <v>1407977.4950273817</v>
      </c>
      <c r="H128" s="115">
        <f t="shared" ca="1" si="33"/>
        <v>2046001.2850949587</v>
      </c>
      <c r="I128" s="115">
        <f t="shared" ca="1" si="33"/>
        <v>3382331.128169009</v>
      </c>
      <c r="J128" s="115">
        <f t="shared" ca="1" si="33"/>
        <v>5034773.2580466969</v>
      </c>
      <c r="K128" s="115">
        <f t="shared" ca="1" si="33"/>
        <v>7027493.4584022751</v>
      </c>
      <c r="L128" s="115">
        <f t="shared" ca="1" si="33"/>
        <v>9406392.7536271196</v>
      </c>
      <c r="M128" s="115">
        <f t="shared" ca="1" si="33"/>
        <v>12200883.614826055</v>
      </c>
      <c r="N128" s="115">
        <f t="shared" ca="1" si="33"/>
        <v>15216245.517299026</v>
      </c>
      <c r="O128" s="115">
        <f t="shared" ca="1" si="33"/>
        <v>17650609.641133659</v>
      </c>
    </row>
    <row r="130" spans="2:15" x14ac:dyDescent="0.2">
      <c r="B130" s="27" t="s">
        <v>98</v>
      </c>
    </row>
    <row r="131" spans="2:15" x14ac:dyDescent="0.2">
      <c r="B131" s="28" t="s">
        <v>29</v>
      </c>
      <c r="E131" s="26">
        <f>'Depreciation Ammortization'!C11</f>
        <v>0</v>
      </c>
      <c r="F131" s="26">
        <f>'Depreciation Ammortization'!D11</f>
        <v>0</v>
      </c>
      <c r="G131" s="26">
        <f>'Depreciation Ammortization'!E11</f>
        <v>0</v>
      </c>
      <c r="H131" s="26">
        <f>'Depreciation Ammortization'!F11</f>
        <v>0</v>
      </c>
      <c r="I131" s="26">
        <f>'Depreciation Ammortization'!G11</f>
        <v>0</v>
      </c>
      <c r="J131" s="26">
        <f>'Depreciation Ammortization'!H11</f>
        <v>0</v>
      </c>
      <c r="K131" s="26">
        <f>'Depreciation Ammortization'!I11</f>
        <v>0</v>
      </c>
      <c r="L131" s="26">
        <f>'Depreciation Ammortization'!J11</f>
        <v>0</v>
      </c>
      <c r="M131" s="26">
        <f>'Depreciation Ammortization'!K11</f>
        <v>0</v>
      </c>
      <c r="N131" s="26">
        <f>'Depreciation Ammortization'!L11</f>
        <v>0</v>
      </c>
      <c r="O131" s="26">
        <f>'Depreciation Ammortization'!M11</f>
        <v>0</v>
      </c>
    </row>
    <row r="132" spans="2:15" x14ac:dyDescent="0.2">
      <c r="B132" s="28" t="s">
        <v>56</v>
      </c>
      <c r="E132" s="26">
        <f>'Depreciation Ammortization'!C16</f>
        <v>0</v>
      </c>
      <c r="F132" s="26">
        <f>'Depreciation Ammortization'!D16</f>
        <v>0</v>
      </c>
      <c r="G132" s="26">
        <f>'Depreciation Ammortization'!E16</f>
        <v>0</v>
      </c>
      <c r="H132" s="26">
        <f>'Depreciation Ammortization'!F16</f>
        <v>0</v>
      </c>
      <c r="I132" s="26">
        <f>'Depreciation Ammortization'!G16</f>
        <v>0</v>
      </c>
      <c r="J132" s="26">
        <f>'Depreciation Ammortization'!H16</f>
        <v>0</v>
      </c>
      <c r="K132" s="26">
        <f>'Depreciation Ammortization'!I16</f>
        <v>0</v>
      </c>
      <c r="L132" s="26">
        <f>'Depreciation Ammortization'!J16</f>
        <v>0</v>
      </c>
      <c r="M132" s="26">
        <f>'Depreciation Ammortization'!K16</f>
        <v>0</v>
      </c>
      <c r="N132" s="26">
        <f>'Depreciation Ammortization'!L16</f>
        <v>0</v>
      </c>
      <c r="O132" s="26">
        <f>'Depreciation Ammortization'!M16</f>
        <v>0</v>
      </c>
    </row>
    <row r="133" spans="2:15" x14ac:dyDescent="0.2">
      <c r="B133" s="28" t="s">
        <v>14</v>
      </c>
      <c r="E133" s="26">
        <f>'Depreciation Ammortization'!C21</f>
        <v>900000</v>
      </c>
      <c r="F133" s="26">
        <f>'Depreciation Ammortization'!D21</f>
        <v>765000</v>
      </c>
      <c r="G133" s="26">
        <f>'Depreciation Ammortization'!E21</f>
        <v>650250</v>
      </c>
      <c r="H133" s="26">
        <f>'Depreciation Ammortization'!F21</f>
        <v>552712.5</v>
      </c>
      <c r="I133" s="26">
        <f>'Depreciation Ammortization'!G21</f>
        <v>469805.625</v>
      </c>
      <c r="J133" s="26">
        <f>'Depreciation Ammortization'!H21</f>
        <v>399334.78125</v>
      </c>
      <c r="K133" s="26">
        <f>'Depreciation Ammortization'!I21</f>
        <v>339434.56406250002</v>
      </c>
      <c r="L133" s="26">
        <f>'Depreciation Ammortization'!J21</f>
        <v>288519.379453125</v>
      </c>
      <c r="M133" s="26">
        <f>'Depreciation Ammortization'!K21</f>
        <v>245241.47253515624</v>
      </c>
      <c r="N133" s="26">
        <f>'Depreciation Ammortization'!L21</f>
        <v>208455.2516548828</v>
      </c>
      <c r="O133" s="26">
        <f>'Depreciation Ammortization'!M21</f>
        <v>177186.96390665037</v>
      </c>
    </row>
    <row r="134" spans="2:15" x14ac:dyDescent="0.2">
      <c r="B134" s="28" t="s">
        <v>16</v>
      </c>
      <c r="E134" s="26">
        <f>'Depreciation Ammortization'!C26</f>
        <v>200000</v>
      </c>
      <c r="F134" s="26">
        <f>'Depreciation Ammortization'!D26</f>
        <v>170000</v>
      </c>
      <c r="G134" s="26">
        <f>'Depreciation Ammortization'!E26</f>
        <v>144500</v>
      </c>
      <c r="H134" s="26">
        <f>'Depreciation Ammortization'!F26</f>
        <v>122825</v>
      </c>
      <c r="I134" s="26">
        <f>'Depreciation Ammortization'!G26</f>
        <v>104401.25</v>
      </c>
      <c r="J134" s="26">
        <f>'Depreciation Ammortization'!H26</f>
        <v>88741.0625</v>
      </c>
      <c r="K134" s="26">
        <f>'Depreciation Ammortization'!I26</f>
        <v>75429.903124999997</v>
      </c>
      <c r="L134" s="26">
        <f>'Depreciation Ammortization'!J26</f>
        <v>64115.41765625</v>
      </c>
      <c r="M134" s="26">
        <f>'Depreciation Ammortization'!K26</f>
        <v>54498.105007812497</v>
      </c>
      <c r="N134" s="26">
        <f>'Depreciation Ammortization'!L26</f>
        <v>46323.389256640621</v>
      </c>
      <c r="O134" s="26">
        <f>'Depreciation Ammortization'!M26</f>
        <v>39374.88086814453</v>
      </c>
    </row>
    <row r="135" spans="2:15" x14ac:dyDescent="0.2">
      <c r="B135" s="28" t="s">
        <v>17</v>
      </c>
      <c r="E135" s="26">
        <f>'Depreciation Ammortization'!C31</f>
        <v>1500000</v>
      </c>
      <c r="F135" s="26">
        <f>'Depreciation Ammortization'!D31</f>
        <v>1275000</v>
      </c>
      <c r="G135" s="26">
        <f>'Depreciation Ammortization'!E31</f>
        <v>1083750</v>
      </c>
      <c r="H135" s="26">
        <f>'Depreciation Ammortization'!F31</f>
        <v>921187.5</v>
      </c>
      <c r="I135" s="26">
        <f>'Depreciation Ammortization'!G31</f>
        <v>783009.375</v>
      </c>
      <c r="J135" s="26">
        <f>'Depreciation Ammortization'!H31</f>
        <v>665557.96875</v>
      </c>
      <c r="K135" s="26">
        <f>'Depreciation Ammortization'!I31</f>
        <v>565724.2734375</v>
      </c>
      <c r="L135" s="26">
        <f>'Depreciation Ammortization'!J31</f>
        <v>480865.63242187502</v>
      </c>
      <c r="M135" s="26">
        <f>'Depreciation Ammortization'!K31</f>
        <v>408735.78755859379</v>
      </c>
      <c r="N135" s="26">
        <f>'Depreciation Ammortization'!L31</f>
        <v>347425.41942480474</v>
      </c>
      <c r="O135" s="26">
        <f>'Depreciation Ammortization'!M31</f>
        <v>295311.60651108401</v>
      </c>
    </row>
    <row r="136" spans="2:15" x14ac:dyDescent="0.2">
      <c r="B136" s="28" t="s">
        <v>15</v>
      </c>
      <c r="E136" s="26">
        <f>'Depreciation Ammortization'!C36</f>
        <v>150000</v>
      </c>
      <c r="F136" s="26">
        <f>'Depreciation Ammortization'!D36</f>
        <v>105000</v>
      </c>
      <c r="G136" s="26">
        <f>'Depreciation Ammortization'!E36</f>
        <v>73500</v>
      </c>
      <c r="H136" s="26">
        <f>'Depreciation Ammortization'!F36</f>
        <v>51450</v>
      </c>
      <c r="I136" s="26">
        <f>'Depreciation Ammortization'!G36</f>
        <v>36015</v>
      </c>
      <c r="J136" s="26">
        <f>'Depreciation Ammortization'!H36</f>
        <v>25210.5</v>
      </c>
      <c r="K136" s="26">
        <f>'Depreciation Ammortization'!I36</f>
        <v>17647.349999999999</v>
      </c>
      <c r="L136" s="26">
        <f>'Depreciation Ammortization'!J36</f>
        <v>12353.145</v>
      </c>
      <c r="M136" s="26">
        <f>'Depreciation Ammortization'!K36</f>
        <v>8647.201500000001</v>
      </c>
      <c r="N136" s="26">
        <f>'Depreciation Ammortization'!L36</f>
        <v>6053.0410500000007</v>
      </c>
      <c r="O136" s="26">
        <f>'Depreciation Ammortization'!M36</f>
        <v>4237.1287350000002</v>
      </c>
    </row>
    <row r="137" spans="2:15" x14ac:dyDescent="0.2">
      <c r="B137" s="115" t="s">
        <v>99</v>
      </c>
      <c r="C137" s="115"/>
      <c r="D137" s="115"/>
      <c r="E137" s="115">
        <f t="shared" ref="E137:O137" si="34">SUM(E131:E136)</f>
        <v>2750000</v>
      </c>
      <c r="F137" s="115">
        <f t="shared" si="34"/>
        <v>2315000</v>
      </c>
      <c r="G137" s="115">
        <f t="shared" si="34"/>
        <v>1952000</v>
      </c>
      <c r="H137" s="115">
        <f t="shared" si="34"/>
        <v>1648175</v>
      </c>
      <c r="I137" s="115">
        <f t="shared" si="34"/>
        <v>1393231.25</v>
      </c>
      <c r="J137" s="115">
        <f t="shared" si="34"/>
        <v>1178844.3125</v>
      </c>
      <c r="K137" s="115">
        <f t="shared" si="34"/>
        <v>998236.09062500007</v>
      </c>
      <c r="L137" s="115">
        <f t="shared" si="34"/>
        <v>845853.57453125005</v>
      </c>
      <c r="M137" s="115">
        <f t="shared" si="34"/>
        <v>717122.56660156255</v>
      </c>
      <c r="N137" s="115">
        <f t="shared" si="34"/>
        <v>608257.10138632811</v>
      </c>
      <c r="O137" s="115">
        <f t="shared" si="34"/>
        <v>516110.58002087887</v>
      </c>
    </row>
    <row r="139" spans="2:15" x14ac:dyDescent="0.2">
      <c r="B139" s="27" t="s">
        <v>100</v>
      </c>
    </row>
    <row r="140" spans="2:15" x14ac:dyDescent="0.2">
      <c r="B140" s="28" t="s">
        <v>101</v>
      </c>
      <c r="E140" s="26">
        <f>'Depreciation Ammortization'!C44</f>
        <v>250000</v>
      </c>
      <c r="F140" s="26">
        <f>'Depreciation Ammortization'!D44</f>
        <v>200000</v>
      </c>
      <c r="G140" s="26">
        <f>'Depreciation Ammortization'!E44</f>
        <v>150000</v>
      </c>
      <c r="H140" s="26">
        <f>'Depreciation Ammortization'!F44</f>
        <v>100000</v>
      </c>
      <c r="I140" s="26">
        <f>'Depreciation Ammortization'!G44</f>
        <v>50000</v>
      </c>
      <c r="J140" s="26">
        <f>'Depreciation Ammortization'!H44</f>
        <v>0</v>
      </c>
      <c r="K140" s="26">
        <f>'Depreciation Ammortization'!I44</f>
        <v>0</v>
      </c>
      <c r="L140" s="26">
        <f>'Depreciation Ammortization'!J44</f>
        <v>0</v>
      </c>
      <c r="M140" s="26">
        <f>'Depreciation Ammortization'!K44</f>
        <v>0</v>
      </c>
      <c r="N140" s="26">
        <f>'Depreciation Ammortization'!L44</f>
        <v>0</v>
      </c>
      <c r="O140" s="26">
        <f>'Depreciation Ammortization'!M44</f>
        <v>0</v>
      </c>
    </row>
    <row r="141" spans="2:15" x14ac:dyDescent="0.2">
      <c r="B141" s="28" t="s">
        <v>102</v>
      </c>
      <c r="E141" s="26">
        <f>'Depreciation Ammortization'!C49</f>
        <v>26000</v>
      </c>
      <c r="F141" s="26">
        <f>'Depreciation Ammortization'!D49</f>
        <v>20800</v>
      </c>
      <c r="G141" s="26">
        <f>'Depreciation Ammortization'!E49</f>
        <v>15600</v>
      </c>
      <c r="H141" s="26">
        <f>'Depreciation Ammortization'!F49</f>
        <v>10400</v>
      </c>
      <c r="I141" s="26">
        <f>'Depreciation Ammortization'!G49</f>
        <v>5200</v>
      </c>
      <c r="J141" s="26">
        <f>'Depreciation Ammortization'!H49</f>
        <v>0</v>
      </c>
      <c r="K141" s="26">
        <f>'Depreciation Ammortization'!I49</f>
        <v>0</v>
      </c>
      <c r="L141" s="26">
        <f>'Depreciation Ammortization'!J49</f>
        <v>0</v>
      </c>
      <c r="M141" s="26">
        <f>'Depreciation Ammortization'!K49</f>
        <v>0</v>
      </c>
      <c r="N141" s="26">
        <f>'Depreciation Ammortization'!L49</f>
        <v>0</v>
      </c>
      <c r="O141" s="26">
        <f>'Depreciation Ammortization'!M49</f>
        <v>0</v>
      </c>
    </row>
    <row r="142" spans="2:15" x14ac:dyDescent="0.2">
      <c r="B142" s="115" t="s">
        <v>103</v>
      </c>
      <c r="C142" s="115"/>
      <c r="D142" s="115"/>
      <c r="E142" s="115">
        <f>SUM(E140:E141)</f>
        <v>276000</v>
      </c>
      <c r="F142" s="115">
        <f t="shared" ref="F142:O142" si="35">SUM(F140:F141)</f>
        <v>220800</v>
      </c>
      <c r="G142" s="115">
        <f t="shared" si="35"/>
        <v>165600</v>
      </c>
      <c r="H142" s="115">
        <f t="shared" si="35"/>
        <v>110400</v>
      </c>
      <c r="I142" s="115">
        <f t="shared" si="35"/>
        <v>55200</v>
      </c>
      <c r="J142" s="115">
        <f t="shared" si="35"/>
        <v>0</v>
      </c>
      <c r="K142" s="115">
        <f t="shared" si="35"/>
        <v>0</v>
      </c>
      <c r="L142" s="115">
        <f t="shared" si="35"/>
        <v>0</v>
      </c>
      <c r="M142" s="115">
        <f t="shared" si="35"/>
        <v>0</v>
      </c>
      <c r="N142" s="115">
        <f t="shared" si="35"/>
        <v>0</v>
      </c>
      <c r="O142" s="115">
        <f t="shared" si="35"/>
        <v>0</v>
      </c>
    </row>
    <row r="143" spans="2:15" ht="13.5" thickBot="1" x14ac:dyDescent="0.25">
      <c r="B143" s="29" t="s">
        <v>3</v>
      </c>
      <c r="C143" s="29"/>
      <c r="D143" s="29"/>
      <c r="E143" s="29">
        <f ca="1">ROUND(SUM(E128,E137,E142),0)</f>
        <v>3482966</v>
      </c>
      <c r="F143" s="29">
        <f t="shared" ref="F143:O143" ca="1" si="36">ROUND(SUM(F128,F137,F142),0)</f>
        <v>3566523</v>
      </c>
      <c r="G143" s="29">
        <f t="shared" ca="1" si="36"/>
        <v>3525577</v>
      </c>
      <c r="H143" s="29">
        <f t="shared" ca="1" si="36"/>
        <v>3804576</v>
      </c>
      <c r="I143" s="29">
        <f t="shared" ca="1" si="36"/>
        <v>4830762</v>
      </c>
      <c r="J143" s="29">
        <f t="shared" ca="1" si="36"/>
        <v>6213618</v>
      </c>
      <c r="K143" s="29">
        <f t="shared" ca="1" si="36"/>
        <v>8025730</v>
      </c>
      <c r="L143" s="29">
        <f t="shared" ca="1" si="36"/>
        <v>10252246</v>
      </c>
      <c r="M143" s="29">
        <f t="shared" ca="1" si="36"/>
        <v>12918006</v>
      </c>
      <c r="N143" s="29">
        <f t="shared" ca="1" si="36"/>
        <v>15824503</v>
      </c>
      <c r="O143" s="29">
        <f t="shared" ca="1" si="36"/>
        <v>18166720</v>
      </c>
    </row>
    <row r="145" spans="2:15" x14ac:dyDescent="0.2">
      <c r="B145" s="353" t="s">
        <v>104</v>
      </c>
      <c r="C145" s="353"/>
      <c r="D145" s="353"/>
      <c r="F145" s="114"/>
    </row>
    <row r="146" spans="2:15" x14ac:dyDescent="0.2">
      <c r="B146" s="27" t="s">
        <v>105</v>
      </c>
    </row>
    <row r="147" spans="2:15" x14ac:dyDescent="0.2">
      <c r="B147" s="28" t="s">
        <v>106</v>
      </c>
      <c r="F147" s="26">
        <f>('Input Sheet'!$E$91/365)*SUM(F75:F76,F79,F125:F126)</f>
        <v>150055.46339897258</v>
      </c>
      <c r="G147" s="26">
        <f>('Input Sheet'!$E$91/365)*SUM(G75:G76,G79,G125:G126)</f>
        <v>182044.48763912669</v>
      </c>
      <c r="H147" s="26">
        <f>('Input Sheet'!$E$91/365)*SUM(H75:H76,H79,H125:H126)</f>
        <v>216545.05783657962</v>
      </c>
      <c r="I147" s="26">
        <f>('Input Sheet'!$E$91/365)*SUM(I75:I76,I79,I125:I126)</f>
        <v>256432.29635694035</v>
      </c>
      <c r="J147" s="26">
        <f>('Input Sheet'!$E$91/365)*SUM(J75:J76,J79,J125:J126)</f>
        <v>302513.32434858131</v>
      </c>
      <c r="K147" s="26">
        <f>('Input Sheet'!$E$91/365)*SUM(K75:K76,K79,K125:K126)</f>
        <v>355720.69498139428</v>
      </c>
      <c r="L147" s="26">
        <f>('Input Sheet'!$E$91/365)*SUM(L75:L76,L79,L125:L126)</f>
        <v>417133.61753964954</v>
      </c>
      <c r="M147" s="26">
        <f>('Input Sheet'!$E$91/365)*SUM(M75:M76,M79,M125:M126)</f>
        <v>485827.12885581603</v>
      </c>
      <c r="N147" s="26">
        <f>('Input Sheet'!$E$91/365)*SUM(N75:N76,N79,N125:N126)</f>
        <v>539458.75795046974</v>
      </c>
      <c r="O147" s="26">
        <f>('Input Sheet'!$E$91/365)*SUM(O75:O76,O79,O125:O126)</f>
        <v>537442.4951181683</v>
      </c>
    </row>
    <row r="148" spans="2:15" x14ac:dyDescent="0.2">
      <c r="B148" s="28" t="s">
        <v>260</v>
      </c>
      <c r="E148" s="26">
        <f t="shared" ref="E148:O148" ca="1" si="37">E196-E195</f>
        <v>0</v>
      </c>
      <c r="F148" s="26">
        <f t="shared" ca="1" si="37"/>
        <v>0</v>
      </c>
      <c r="G148" s="26">
        <f t="shared" ca="1" si="37"/>
        <v>0</v>
      </c>
      <c r="H148" s="26">
        <f t="shared" ca="1" si="37"/>
        <v>0</v>
      </c>
      <c r="I148" s="26">
        <f t="shared" ca="1" si="37"/>
        <v>0</v>
      </c>
      <c r="J148" s="26">
        <f t="shared" ca="1" si="37"/>
        <v>0</v>
      </c>
      <c r="K148" s="26">
        <f t="shared" ca="1" si="37"/>
        <v>0</v>
      </c>
      <c r="L148" s="26">
        <f t="shared" ca="1" si="37"/>
        <v>0</v>
      </c>
      <c r="M148" s="26">
        <f t="shared" ca="1" si="37"/>
        <v>0</v>
      </c>
      <c r="N148" s="26">
        <f t="shared" ca="1" si="37"/>
        <v>0</v>
      </c>
      <c r="O148" s="26">
        <f t="shared" ca="1" si="37"/>
        <v>0</v>
      </c>
    </row>
    <row r="149" spans="2:15" x14ac:dyDescent="0.2">
      <c r="B149" s="115" t="s">
        <v>108</v>
      </c>
      <c r="C149" s="115"/>
      <c r="D149" s="115"/>
      <c r="E149" s="115">
        <f ca="1">SUM(E147:E148)</f>
        <v>0</v>
      </c>
      <c r="F149" s="115">
        <f t="shared" ref="F149:O149" ca="1" si="38">SUM(F147:F148)</f>
        <v>150055.46339897258</v>
      </c>
      <c r="G149" s="115">
        <f t="shared" ca="1" si="38"/>
        <v>182044.48763912669</v>
      </c>
      <c r="H149" s="115">
        <f t="shared" ca="1" si="38"/>
        <v>216545.05783657962</v>
      </c>
      <c r="I149" s="115">
        <f t="shared" ca="1" si="38"/>
        <v>256432.29635694035</v>
      </c>
      <c r="J149" s="115">
        <f t="shared" ca="1" si="38"/>
        <v>302513.32434858131</v>
      </c>
      <c r="K149" s="115">
        <f t="shared" ca="1" si="38"/>
        <v>355720.69498139428</v>
      </c>
      <c r="L149" s="115">
        <f t="shared" ca="1" si="38"/>
        <v>417133.61753964954</v>
      </c>
      <c r="M149" s="115">
        <f t="shared" ca="1" si="38"/>
        <v>485827.12885581603</v>
      </c>
      <c r="N149" s="115">
        <f t="shared" ca="1" si="38"/>
        <v>539458.75795046974</v>
      </c>
      <c r="O149" s="115">
        <f t="shared" ca="1" si="38"/>
        <v>537442.4951181683</v>
      </c>
    </row>
    <row r="151" spans="2:15" x14ac:dyDescent="0.2">
      <c r="B151" s="27" t="s">
        <v>107</v>
      </c>
    </row>
    <row r="152" spans="2:15" x14ac:dyDescent="0.2">
      <c r="B152" s="28" t="s">
        <v>11</v>
      </c>
      <c r="E152" s="26">
        <f>'Project Loan'!$C23</f>
        <v>1513000</v>
      </c>
      <c r="F152" s="26">
        <f>'Project Loan'!$C24</f>
        <v>1513000</v>
      </c>
      <c r="G152" s="26">
        <f>'Project Loan'!$C25</f>
        <v>778533.98058252421</v>
      </c>
      <c r="H152" s="26">
        <f>'Project Loan'!$C26</f>
        <v>0</v>
      </c>
      <c r="I152" s="26">
        <f>'Project Loan'!$C27</f>
        <v>0</v>
      </c>
      <c r="J152" s="26">
        <f>'Project Loan'!$C28</f>
        <v>0</v>
      </c>
      <c r="K152" s="26">
        <f>'Project Loan'!$C29</f>
        <v>0</v>
      </c>
      <c r="L152" s="26">
        <f>'Project Loan'!$C30</f>
        <v>0</v>
      </c>
      <c r="M152" s="26">
        <f>'Project Loan'!$C31</f>
        <v>0</v>
      </c>
      <c r="N152" s="26">
        <f>'Project Loan'!$C32</f>
        <v>0</v>
      </c>
      <c r="O152" s="26">
        <f>'Project Loan'!$C33</f>
        <v>0</v>
      </c>
    </row>
    <row r="153" spans="2:15" x14ac:dyDescent="0.2">
      <c r="B153" s="28" t="s">
        <v>12</v>
      </c>
      <c r="E153" s="26">
        <f ca="1">IF(('WC Loan'!$C23)&lt;1,0,'WC Loan'!$C23)</f>
        <v>228482.82177151006</v>
      </c>
      <c r="F153" s="26">
        <f ca="1">IF(('WC Loan'!$C24)&lt;1,0,'WC Loan'!$C24)</f>
        <v>0</v>
      </c>
      <c r="G153" s="26">
        <f ca="1">IF(('WC Loan'!$C25)&lt;1,0,'WC Loan'!$C25)</f>
        <v>0</v>
      </c>
      <c r="H153" s="26">
        <f ca="1">IF(('WC Loan'!$C26)&lt;1,0,'WC Loan'!$C26)</f>
        <v>0</v>
      </c>
      <c r="I153" s="26">
        <f ca="1">IF(('WC Loan'!$C27)&lt;1,0,'WC Loan'!$C27)</f>
        <v>0</v>
      </c>
      <c r="J153" s="26">
        <f ca="1">IF(('WC Loan'!$C28)&lt;1,0,'WC Loan'!$C28)</f>
        <v>0</v>
      </c>
      <c r="K153" s="26">
        <f ca="1">IF(('WC Loan'!$C29)&lt;1,0,'WC Loan'!$C29)</f>
        <v>0</v>
      </c>
      <c r="L153" s="26">
        <f ca="1">IF(('WC Loan'!$C30)&lt;1,0,'WC Loan'!$C30)</f>
        <v>0</v>
      </c>
      <c r="M153" s="26">
        <f ca="1">IF(('WC Loan'!$C31)&lt;1,0,'WC Loan'!$C31)</f>
        <v>0</v>
      </c>
      <c r="N153" s="26">
        <f ca="1">IF(('WC Loan'!$C32)&lt;1,0,'WC Loan'!$C32)</f>
        <v>0</v>
      </c>
      <c r="O153" s="26">
        <f ca="1">IF(('WC Loan'!$C33)&lt;1,0,'WC Loan'!$C33)</f>
        <v>0</v>
      </c>
    </row>
    <row r="154" spans="2:15" x14ac:dyDescent="0.2">
      <c r="B154" s="115" t="s">
        <v>109</v>
      </c>
      <c r="C154" s="115"/>
      <c r="D154" s="115"/>
      <c r="E154" s="115">
        <f t="shared" ref="E154:O154" ca="1" si="39">SUM(E152:E153)</f>
        <v>1741482.8217715099</v>
      </c>
      <c r="F154" s="115">
        <f t="shared" ca="1" si="39"/>
        <v>1513000</v>
      </c>
      <c r="G154" s="115">
        <f t="shared" ca="1" si="39"/>
        <v>778533.98058252421</v>
      </c>
      <c r="H154" s="115">
        <f t="shared" ca="1" si="39"/>
        <v>0</v>
      </c>
      <c r="I154" s="115">
        <f t="shared" ca="1" si="39"/>
        <v>0</v>
      </c>
      <c r="J154" s="115">
        <f t="shared" ca="1" si="39"/>
        <v>0</v>
      </c>
      <c r="K154" s="115">
        <f t="shared" ca="1" si="39"/>
        <v>0</v>
      </c>
      <c r="L154" s="115">
        <f t="shared" ca="1" si="39"/>
        <v>0</v>
      </c>
      <c r="M154" s="115">
        <f t="shared" ca="1" si="39"/>
        <v>0</v>
      </c>
      <c r="N154" s="115">
        <f t="shared" ca="1" si="39"/>
        <v>0</v>
      </c>
      <c r="O154" s="115">
        <f t="shared" ca="1" si="39"/>
        <v>0</v>
      </c>
    </row>
    <row r="156" spans="2:15" x14ac:dyDescent="0.2">
      <c r="B156" s="27" t="s">
        <v>110</v>
      </c>
      <c r="F156" s="26" t="s">
        <v>267</v>
      </c>
    </row>
    <row r="157" spans="2:15" x14ac:dyDescent="0.2">
      <c r="B157" s="28" t="s">
        <v>111</v>
      </c>
      <c r="E157" s="26">
        <f ca="1">E49</f>
        <v>1741482.8217727907</v>
      </c>
      <c r="F157" s="26">
        <f t="shared" ref="F157:O157" ca="1" si="40">E157+F49</f>
        <v>1741482.8217727907</v>
      </c>
      <c r="G157" s="26">
        <f t="shared" ca="1" si="40"/>
        <v>1741482.8217727907</v>
      </c>
      <c r="H157" s="26">
        <f t="shared" ca="1" si="40"/>
        <v>1741482.8217727907</v>
      </c>
      <c r="I157" s="26">
        <f t="shared" ca="1" si="40"/>
        <v>1741482.8217727907</v>
      </c>
      <c r="J157" s="26">
        <f t="shared" ca="1" si="40"/>
        <v>1741482.8217727907</v>
      </c>
      <c r="K157" s="26">
        <f t="shared" ca="1" si="40"/>
        <v>1741482.8217727907</v>
      </c>
      <c r="L157" s="26">
        <f t="shared" ca="1" si="40"/>
        <v>1741482.8217727907</v>
      </c>
      <c r="M157" s="26">
        <f t="shared" ca="1" si="40"/>
        <v>1741482.8217727907</v>
      </c>
      <c r="N157" s="26">
        <f t="shared" ca="1" si="40"/>
        <v>1741482.8217727907</v>
      </c>
      <c r="O157" s="26">
        <f t="shared" ca="1" si="40"/>
        <v>1741482.8217727907</v>
      </c>
    </row>
    <row r="158" spans="2:15" x14ac:dyDescent="0.2">
      <c r="B158" s="28" t="s">
        <v>112</v>
      </c>
      <c r="F158" s="26">
        <f t="shared" ref="F158:O158" ca="1" si="41">F113</f>
        <v>161984.81709062238</v>
      </c>
      <c r="G158" s="26">
        <f t="shared" ca="1" si="41"/>
        <v>823516.20503318263</v>
      </c>
      <c r="H158" s="26">
        <f t="shared" ca="1" si="41"/>
        <v>1846548.4054856854</v>
      </c>
      <c r="I158" s="26">
        <f t="shared" ca="1" si="41"/>
        <v>2832847.2600410595</v>
      </c>
      <c r="J158" s="26">
        <f t="shared" ca="1" si="41"/>
        <v>4169621.4244269934</v>
      </c>
      <c r="K158" s="26">
        <f t="shared" ca="1" si="41"/>
        <v>5928526.0322724022</v>
      </c>
      <c r="L158" s="26">
        <f t="shared" ca="1" si="41"/>
        <v>8093629.8888458479</v>
      </c>
      <c r="M158" s="26">
        <f t="shared" ca="1" si="41"/>
        <v>10690696.230802145</v>
      </c>
      <c r="N158" s="26">
        <f t="shared" ca="1" si="41"/>
        <v>13543561.038963761</v>
      </c>
      <c r="O158" s="26">
        <f t="shared" ca="1" si="41"/>
        <v>15887794.904260989</v>
      </c>
    </row>
    <row r="159" spans="2:15" x14ac:dyDescent="0.2">
      <c r="B159" s="115" t="s">
        <v>113</v>
      </c>
      <c r="C159" s="115"/>
      <c r="D159" s="115"/>
      <c r="E159" s="115">
        <f ca="1">SUM(E157:E158)</f>
        <v>1741482.8217727907</v>
      </c>
      <c r="F159" s="115">
        <f ca="1">SUM(F157:F158)</f>
        <v>1903467.6388634131</v>
      </c>
      <c r="G159" s="115">
        <f t="shared" ref="G159:O159" ca="1" si="42">SUM(G157:G158)</f>
        <v>2564999.0268059736</v>
      </c>
      <c r="H159" s="115">
        <f t="shared" ca="1" si="42"/>
        <v>3588031.2272584764</v>
      </c>
      <c r="I159" s="115">
        <f t="shared" ca="1" si="42"/>
        <v>4574330.0818138504</v>
      </c>
      <c r="J159" s="115">
        <f t="shared" ca="1" si="42"/>
        <v>5911104.2461997839</v>
      </c>
      <c r="K159" s="115">
        <f t="shared" ca="1" si="42"/>
        <v>7670008.8540451927</v>
      </c>
      <c r="L159" s="115">
        <f t="shared" ca="1" si="42"/>
        <v>9835112.7106186394</v>
      </c>
      <c r="M159" s="115">
        <f t="shared" ca="1" si="42"/>
        <v>12432179.052574936</v>
      </c>
      <c r="N159" s="115">
        <f t="shared" ca="1" si="42"/>
        <v>15285043.860736553</v>
      </c>
      <c r="O159" s="115">
        <f t="shared" ca="1" si="42"/>
        <v>17629277.726033781</v>
      </c>
    </row>
    <row r="160" spans="2:15" ht="13.5" thickBot="1" x14ac:dyDescent="0.25">
      <c r="B160" s="29" t="s">
        <v>114</v>
      </c>
      <c r="C160" s="29"/>
      <c r="D160" s="29"/>
      <c r="E160" s="29">
        <f ca="1">ROUND(SUM(E149,E154,E159),0)</f>
        <v>3482966</v>
      </c>
      <c r="F160" s="29">
        <f t="shared" ref="F160:O160" ca="1" si="43">ROUND(SUM(F149,F154,F159),0)</f>
        <v>3566523</v>
      </c>
      <c r="G160" s="29">
        <f t="shared" ca="1" si="43"/>
        <v>3525577</v>
      </c>
      <c r="H160" s="29">
        <f t="shared" ca="1" si="43"/>
        <v>3804576</v>
      </c>
      <c r="I160" s="29">
        <f t="shared" ca="1" si="43"/>
        <v>4830762</v>
      </c>
      <c r="J160" s="29">
        <f t="shared" ca="1" si="43"/>
        <v>6213618</v>
      </c>
      <c r="K160" s="29">
        <f t="shared" ca="1" si="43"/>
        <v>8025730</v>
      </c>
      <c r="L160" s="29">
        <f t="shared" ca="1" si="43"/>
        <v>10252246</v>
      </c>
      <c r="M160" s="29">
        <f t="shared" ca="1" si="43"/>
        <v>12918006</v>
      </c>
      <c r="N160" s="29">
        <f t="shared" ca="1" si="43"/>
        <v>15824503</v>
      </c>
      <c r="O160" s="29">
        <f t="shared" ca="1" si="43"/>
        <v>18166720</v>
      </c>
    </row>
    <row r="161" spans="2:15" x14ac:dyDescent="0.2">
      <c r="E161" s="26">
        <f ca="1">E143-E160</f>
        <v>0</v>
      </c>
      <c r="F161" s="26">
        <f t="shared" ref="F161:O161" ca="1" si="44">F143-F160</f>
        <v>0</v>
      </c>
      <c r="G161" s="26">
        <f t="shared" ca="1" si="44"/>
        <v>0</v>
      </c>
      <c r="H161" s="26">
        <f t="shared" ca="1" si="44"/>
        <v>0</v>
      </c>
      <c r="I161" s="26">
        <f t="shared" ca="1" si="44"/>
        <v>0</v>
      </c>
      <c r="J161" s="26">
        <f t="shared" ca="1" si="44"/>
        <v>0</v>
      </c>
      <c r="K161" s="26">
        <f t="shared" ca="1" si="44"/>
        <v>0</v>
      </c>
      <c r="L161" s="26">
        <f t="shared" ca="1" si="44"/>
        <v>0</v>
      </c>
      <c r="M161" s="26">
        <f t="shared" ca="1" si="44"/>
        <v>0</v>
      </c>
      <c r="N161" s="26">
        <f t="shared" ca="1" si="44"/>
        <v>0</v>
      </c>
      <c r="O161" s="26">
        <f t="shared" ca="1" si="44"/>
        <v>0</v>
      </c>
    </row>
    <row r="162" spans="2:15" ht="9.75" customHeight="1" x14ac:dyDescent="0.2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2:15" ht="18.75" x14ac:dyDescent="0.3">
      <c r="B163" s="31" t="s">
        <v>36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2" t="s">
        <v>6</v>
      </c>
    </row>
    <row r="164" spans="2:15" ht="18.75" x14ac:dyDescent="0.3">
      <c r="B164" s="33" t="s">
        <v>115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6" spans="2:15" x14ac:dyDescent="0.2">
      <c r="B166" s="98"/>
      <c r="C166" s="98"/>
      <c r="D166" s="98"/>
      <c r="E166" s="117" t="s">
        <v>37</v>
      </c>
      <c r="F166" s="117" t="s">
        <v>38</v>
      </c>
      <c r="G166" s="117" t="s">
        <v>39</v>
      </c>
      <c r="H166" s="117" t="s">
        <v>40</v>
      </c>
      <c r="I166" s="117" t="s">
        <v>41</v>
      </c>
      <c r="J166" s="117" t="s">
        <v>42</v>
      </c>
      <c r="K166" s="117" t="s">
        <v>43</v>
      </c>
      <c r="L166" s="117" t="s">
        <v>44</v>
      </c>
      <c r="M166" s="117" t="s">
        <v>45</v>
      </c>
      <c r="N166" s="117" t="s">
        <v>46</v>
      </c>
      <c r="O166" s="117" t="s">
        <v>47</v>
      </c>
    </row>
    <row r="167" spans="2:15" x14ac:dyDescent="0.2">
      <c r="B167" s="27" t="s">
        <v>116</v>
      </c>
    </row>
    <row r="168" spans="2:15" x14ac:dyDescent="0.2">
      <c r="B168" s="28" t="s">
        <v>117</v>
      </c>
      <c r="F168" s="26">
        <f t="shared" ref="F168:O168" ca="1" si="45">F109</f>
        <v>296983.26386341307</v>
      </c>
      <c r="G168" s="26">
        <f t="shared" ca="1" si="45"/>
        <v>930813.328125</v>
      </c>
      <c r="H168" s="26">
        <f t="shared" ca="1" si="45"/>
        <v>1499221.2820236648</v>
      </c>
      <c r="I168" s="26">
        <f t="shared" ca="1" si="45"/>
        <v>2131403.2414062512</v>
      </c>
      <c r="J168" s="26">
        <f t="shared" ca="1" si="45"/>
        <v>2759511.9303906257</v>
      </c>
      <c r="K168" s="26">
        <f t="shared" ca="1" si="45"/>
        <v>3475403.1241171882</v>
      </c>
      <c r="L168" s="26">
        <f t="shared" ca="1" si="45"/>
        <v>4211465.4739546906</v>
      </c>
      <c r="M168" s="26">
        <f t="shared" ca="1" si="45"/>
        <v>5043696.5637617987</v>
      </c>
      <c r="N168" s="26">
        <f t="shared" ca="1" si="45"/>
        <v>5500488.5565382885</v>
      </c>
      <c r="O168" s="26">
        <f t="shared" ca="1" si="45"/>
        <v>5991480.9109334676</v>
      </c>
    </row>
    <row r="169" spans="2:15" x14ac:dyDescent="0.2">
      <c r="B169" s="28" t="s">
        <v>245</v>
      </c>
      <c r="F169" s="26">
        <f t="shared" ref="F169:O169" si="46">F95</f>
        <v>490200</v>
      </c>
      <c r="G169" s="26">
        <f t="shared" si="46"/>
        <v>418200</v>
      </c>
      <c r="H169" s="26">
        <f t="shared" si="46"/>
        <v>359025</v>
      </c>
      <c r="I169" s="26">
        <f t="shared" si="46"/>
        <v>310143.75</v>
      </c>
      <c r="J169" s="26">
        <f t="shared" si="46"/>
        <v>269586.9375</v>
      </c>
      <c r="K169" s="26">
        <f t="shared" si="46"/>
        <v>180608.22187499999</v>
      </c>
      <c r="L169" s="26">
        <f t="shared" si="46"/>
        <v>152382.51609374999</v>
      </c>
      <c r="M169" s="26">
        <f t="shared" si="46"/>
        <v>128731.00792968749</v>
      </c>
      <c r="N169" s="26">
        <f t="shared" si="46"/>
        <v>108865.46521523438</v>
      </c>
      <c r="O169" s="26">
        <f t="shared" si="46"/>
        <v>92146.521365449211</v>
      </c>
    </row>
    <row r="170" spans="2:15" x14ac:dyDescent="0.2">
      <c r="B170" s="28" t="s">
        <v>95</v>
      </c>
      <c r="F170" s="26">
        <f t="shared" ref="F170:O170" si="47">E123-F123</f>
        <v>-320054.7945205479</v>
      </c>
      <c r="G170" s="26">
        <f t="shared" si="47"/>
        <v>-33655.479452054831</v>
      </c>
      <c r="H170" s="26">
        <f t="shared" si="47"/>
        <v>-69433.356164383527</v>
      </c>
      <c r="I170" s="26">
        <f t="shared" si="47"/>
        <v>-76774.500000000058</v>
      </c>
      <c r="J170" s="26">
        <f t="shared" si="47"/>
        <v>-87897.963698630279</v>
      </c>
      <c r="K170" s="26">
        <f t="shared" si="47"/>
        <v>-100478.37513698637</v>
      </c>
      <c r="L170" s="26">
        <f t="shared" si="47"/>
        <v>-114695.88922602753</v>
      </c>
      <c r="M170" s="26">
        <f t="shared" si="47"/>
        <v>-130752.12238150695</v>
      </c>
      <c r="N170" s="26">
        <f t="shared" si="47"/>
        <v>-120286.56510410982</v>
      </c>
      <c r="O170" s="26">
        <f t="shared" si="47"/>
        <v>-105887.4143679454</v>
      </c>
    </row>
    <row r="171" spans="2:15" x14ac:dyDescent="0.2">
      <c r="B171" s="28" t="s">
        <v>21</v>
      </c>
      <c r="F171" s="26">
        <f t="shared" ref="F171:O171" si="48">E124-F124</f>
        <v>-82213.983050847455</v>
      </c>
      <c r="G171" s="26">
        <f t="shared" si="48"/>
        <v>-13548.63328419748</v>
      </c>
      <c r="H171" s="26">
        <f t="shared" si="48"/>
        <v>-15813.10252669522</v>
      </c>
      <c r="I171" s="26">
        <f t="shared" si="48"/>
        <v>-18018.423066791584</v>
      </c>
      <c r="J171" s="26">
        <f t="shared" si="48"/>
        <v>-20506.641960936526</v>
      </c>
      <c r="K171" s="26">
        <f t="shared" si="48"/>
        <v>-23312.292915303668</v>
      </c>
      <c r="L171" s="26">
        <f t="shared" si="48"/>
        <v>-26473.985597626248</v>
      </c>
      <c r="M171" s="26">
        <f t="shared" si="48"/>
        <v>-30034.876023345569</v>
      </c>
      <c r="N171" s="26">
        <f t="shared" si="48"/>
        <v>-22954.554003943922</v>
      </c>
      <c r="O171" s="26">
        <f t="shared" si="48"/>
        <v>-25287.649242968851</v>
      </c>
    </row>
    <row r="172" spans="2:15" x14ac:dyDescent="0.2">
      <c r="B172" s="28" t="s">
        <v>118</v>
      </c>
      <c r="E172" s="26">
        <f>D125-E125</f>
        <v>0</v>
      </c>
      <c r="F172" s="26">
        <f t="shared" ref="F172:O172" si="49">E125-F125</f>
        <v>0</v>
      </c>
      <c r="G172" s="26">
        <f t="shared" si="49"/>
        <v>0</v>
      </c>
      <c r="H172" s="26">
        <f t="shared" si="49"/>
        <v>0</v>
      </c>
      <c r="I172" s="26">
        <f t="shared" si="49"/>
        <v>0</v>
      </c>
      <c r="J172" s="26">
        <f t="shared" si="49"/>
        <v>0</v>
      </c>
      <c r="K172" s="26">
        <f t="shared" si="49"/>
        <v>0</v>
      </c>
      <c r="L172" s="26">
        <f t="shared" si="49"/>
        <v>0</v>
      </c>
      <c r="M172" s="26">
        <f t="shared" si="49"/>
        <v>0</v>
      </c>
      <c r="N172" s="26">
        <f t="shared" si="49"/>
        <v>0</v>
      </c>
      <c r="O172" s="26">
        <f t="shared" si="49"/>
        <v>0</v>
      </c>
    </row>
    <row r="173" spans="2:15" x14ac:dyDescent="0.2">
      <c r="B173" s="28" t="s">
        <v>20</v>
      </c>
      <c r="E173" s="26">
        <f>D126-E126</f>
        <v>-152109.375</v>
      </c>
      <c r="F173" s="26">
        <f t="shared" ref="F173:O173" si="50">E126-F126</f>
        <v>-31990.234375</v>
      </c>
      <c r="G173" s="26">
        <f t="shared" si="50"/>
        <v>-55818.339843750029</v>
      </c>
      <c r="H173" s="26">
        <f t="shared" si="50"/>
        <v>-71143.249804687599</v>
      </c>
      <c r="I173" s="26">
        <f t="shared" si="50"/>
        <v>-90443.033162109496</v>
      </c>
      <c r="J173" s="26">
        <f t="shared" si="50"/>
        <v>-114711.30821326195</v>
      </c>
      <c r="K173" s="26">
        <f t="shared" si="50"/>
        <v>-145183.72102344903</v>
      </c>
      <c r="L173" s="26">
        <f t="shared" si="50"/>
        <v>-183395.77852171089</v>
      </c>
      <c r="M173" s="26">
        <f t="shared" si="50"/>
        <v>-178304.41404963133</v>
      </c>
      <c r="N173" s="26">
        <f t="shared" si="50"/>
        <v>-214850.88533865637</v>
      </c>
      <c r="O173" s="26">
        <f t="shared" si="50"/>
        <v>1237950.3393322567</v>
      </c>
    </row>
    <row r="174" spans="2:15" x14ac:dyDescent="0.2">
      <c r="B174" s="28" t="s">
        <v>96</v>
      </c>
      <c r="E174" s="26">
        <f>D127-E127</f>
        <v>-45000</v>
      </c>
      <c r="F174" s="26">
        <f t="shared" ref="F174:O174" si="51">E127-F127</f>
        <v>-4500.0000000000073</v>
      </c>
      <c r="G174" s="26">
        <f t="shared" si="51"/>
        <v>-4950</v>
      </c>
      <c r="H174" s="26">
        <f t="shared" si="51"/>
        <v>-5445.0000000000146</v>
      </c>
      <c r="I174" s="26">
        <f t="shared" si="51"/>
        <v>-5989.5000000000073</v>
      </c>
      <c r="J174" s="26">
        <f t="shared" si="51"/>
        <v>-6588.4500000000116</v>
      </c>
      <c r="K174" s="26">
        <f t="shared" si="51"/>
        <v>-7247.2950000000128</v>
      </c>
      <c r="L174" s="26">
        <f t="shared" si="51"/>
        <v>-7972.0245000000141</v>
      </c>
      <c r="M174" s="26">
        <f t="shared" si="51"/>
        <v>-8769.2269499999966</v>
      </c>
      <c r="N174" s="26">
        <f t="shared" si="51"/>
        <v>-9646.1496450000268</v>
      </c>
      <c r="O174" s="26">
        <f t="shared" si="51"/>
        <v>106107.64609500009</v>
      </c>
    </row>
    <row r="175" spans="2:15" x14ac:dyDescent="0.2">
      <c r="B175" s="28" t="s">
        <v>106</v>
      </c>
      <c r="F175" s="26">
        <f t="shared" ref="F175:O175" si="52">F147-E147</f>
        <v>150055.46339897258</v>
      </c>
      <c r="G175" s="26">
        <f t="shared" si="52"/>
        <v>31989.024240154104</v>
      </c>
      <c r="H175" s="26">
        <f t="shared" si="52"/>
        <v>34500.570197452937</v>
      </c>
      <c r="I175" s="26">
        <f t="shared" si="52"/>
        <v>39887.238520360726</v>
      </c>
      <c r="J175" s="26">
        <f t="shared" si="52"/>
        <v>46081.027991640964</v>
      </c>
      <c r="K175" s="26">
        <f t="shared" si="52"/>
        <v>53207.370632812963</v>
      </c>
      <c r="L175" s="26">
        <f t="shared" si="52"/>
        <v>61412.922558255261</v>
      </c>
      <c r="M175" s="26">
        <f t="shared" si="52"/>
        <v>68693.511316166492</v>
      </c>
      <c r="N175" s="26">
        <f t="shared" si="52"/>
        <v>53631.629094653705</v>
      </c>
      <c r="O175" s="26">
        <f t="shared" si="52"/>
        <v>-2016.262832301436</v>
      </c>
    </row>
    <row r="176" spans="2:15" ht="13.5" thickBot="1" x14ac:dyDescent="0.25">
      <c r="B176" s="30" t="s">
        <v>119</v>
      </c>
      <c r="C176" s="30"/>
      <c r="D176" s="30"/>
      <c r="E176" s="30">
        <f t="shared" ref="E176:O176" si="53">SUM(E168:E175)</f>
        <v>-197109.375</v>
      </c>
      <c r="F176" s="30">
        <f t="shared" ca="1" si="53"/>
        <v>498479.71531599032</v>
      </c>
      <c r="G176" s="30">
        <f t="shared" ca="1" si="53"/>
        <v>1273029.8997851517</v>
      </c>
      <c r="H176" s="30">
        <f t="shared" ca="1" si="53"/>
        <v>1730912.1437253514</v>
      </c>
      <c r="I176" s="30">
        <f t="shared" ca="1" si="53"/>
        <v>2290208.7736977106</v>
      </c>
      <c r="J176" s="30">
        <f t="shared" ca="1" si="53"/>
        <v>2845475.5320094377</v>
      </c>
      <c r="K176" s="30">
        <f t="shared" ca="1" si="53"/>
        <v>3432997.0325492616</v>
      </c>
      <c r="L176" s="30">
        <f t="shared" ca="1" si="53"/>
        <v>4092723.2347613303</v>
      </c>
      <c r="M176" s="30">
        <f t="shared" ca="1" si="53"/>
        <v>4893260.4436031682</v>
      </c>
      <c r="N176" s="30">
        <f t="shared" ca="1" si="53"/>
        <v>5295247.4967564661</v>
      </c>
      <c r="O176" s="30">
        <f t="shared" ca="1" si="53"/>
        <v>7294494.0912829572</v>
      </c>
    </row>
    <row r="178" spans="2:15" x14ac:dyDescent="0.2">
      <c r="B178" s="27" t="s">
        <v>120</v>
      </c>
    </row>
    <row r="179" spans="2:15" x14ac:dyDescent="0.2">
      <c r="B179" s="28" t="s">
        <v>252</v>
      </c>
      <c r="F179" s="26">
        <f>-'Project Loan'!E23</f>
        <v>0</v>
      </c>
      <c r="G179" s="26">
        <f>-'Project Loan'!E24</f>
        <v>-734466.01941747579</v>
      </c>
      <c r="H179" s="26">
        <f>-'Project Loan'!E25</f>
        <v>-778533.98058252432</v>
      </c>
      <c r="I179" s="26">
        <f>-'Project Loan'!E26</f>
        <v>0</v>
      </c>
      <c r="J179" s="26">
        <f>-'Project Loan'!E27</f>
        <v>0</v>
      </c>
      <c r="K179" s="26">
        <f>-'Project Loan'!E28</f>
        <v>0</v>
      </c>
      <c r="L179" s="26">
        <f>-'Project Loan'!E29</f>
        <v>0</v>
      </c>
      <c r="M179" s="26">
        <f>-'Project Loan'!E30</f>
        <v>0</v>
      </c>
      <c r="N179" s="26">
        <f>-'Project Loan'!E31</f>
        <v>0</v>
      </c>
      <c r="O179" s="26">
        <f>-'Project Loan'!E32</f>
        <v>0</v>
      </c>
    </row>
    <row r="180" spans="2:15" x14ac:dyDescent="0.2">
      <c r="B180" s="28" t="s">
        <v>253</v>
      </c>
      <c r="F180" s="26">
        <f ca="1">-'WC Loan'!E23</f>
        <v>-228482.82177162741</v>
      </c>
      <c r="G180" s="26">
        <f ca="1">-'WC Loan'!E24</f>
        <v>0</v>
      </c>
      <c r="H180" s="26">
        <f ca="1">-'WC Loan'!E25</f>
        <v>0</v>
      </c>
      <c r="I180" s="26">
        <f ca="1">-'WC Loan'!E26</f>
        <v>0</v>
      </c>
      <c r="J180" s="26">
        <f ca="1">-'WC Loan'!E27</f>
        <v>0</v>
      </c>
      <c r="K180" s="26">
        <f ca="1">-'WC Loan'!E28</f>
        <v>0</v>
      </c>
      <c r="L180" s="26">
        <f ca="1">-'WC Loan'!E29</f>
        <v>0</v>
      </c>
      <c r="M180" s="26">
        <f ca="1">-'WC Loan'!E30</f>
        <v>0</v>
      </c>
      <c r="N180" s="26">
        <f ca="1">-'WC Loan'!E31</f>
        <v>0</v>
      </c>
      <c r="O180" s="26">
        <f ca="1">-'WC Loan'!E32</f>
        <v>0</v>
      </c>
    </row>
    <row r="181" spans="2:15" x14ac:dyDescent="0.2">
      <c r="B181" s="28" t="s">
        <v>261</v>
      </c>
      <c r="F181" s="26">
        <f t="shared" ref="F181:O181" ca="1" si="54">-E148</f>
        <v>0</v>
      </c>
      <c r="G181" s="26">
        <f t="shared" ca="1" si="54"/>
        <v>0</v>
      </c>
      <c r="H181" s="26">
        <f t="shared" ca="1" si="54"/>
        <v>0</v>
      </c>
      <c r="I181" s="26">
        <f t="shared" ca="1" si="54"/>
        <v>0</v>
      </c>
      <c r="J181" s="26">
        <f t="shared" ca="1" si="54"/>
        <v>0</v>
      </c>
      <c r="K181" s="26">
        <f t="shared" ca="1" si="54"/>
        <v>0</v>
      </c>
      <c r="L181" s="26">
        <f t="shared" ca="1" si="54"/>
        <v>0</v>
      </c>
      <c r="M181" s="26">
        <f t="shared" ca="1" si="54"/>
        <v>0</v>
      </c>
      <c r="N181" s="26">
        <f t="shared" ca="1" si="54"/>
        <v>0</v>
      </c>
      <c r="O181" s="26">
        <f t="shared" ca="1" si="54"/>
        <v>0</v>
      </c>
    </row>
    <row r="182" spans="2:15" x14ac:dyDescent="0.2">
      <c r="B182" s="28" t="str">
        <f>"Additions to "&amp;B46</f>
        <v>Additions to Project Loan</v>
      </c>
      <c r="E182" s="26">
        <f t="shared" ref="E182:O182" si="55">E46</f>
        <v>1513000</v>
      </c>
      <c r="F182" s="26">
        <f t="shared" ca="1" si="55"/>
        <v>0</v>
      </c>
      <c r="G182" s="26">
        <f t="shared" ca="1" si="55"/>
        <v>0</v>
      </c>
      <c r="H182" s="26">
        <f t="shared" ca="1" si="55"/>
        <v>0</v>
      </c>
      <c r="I182" s="26">
        <f t="shared" ca="1" si="55"/>
        <v>0</v>
      </c>
      <c r="J182" s="26">
        <f t="shared" ca="1" si="55"/>
        <v>0</v>
      </c>
      <c r="K182" s="26">
        <f t="shared" ca="1" si="55"/>
        <v>0</v>
      </c>
      <c r="L182" s="26">
        <f t="shared" ca="1" si="55"/>
        <v>0</v>
      </c>
      <c r="M182" s="26">
        <f t="shared" ca="1" si="55"/>
        <v>0</v>
      </c>
      <c r="N182" s="26">
        <f t="shared" ca="1" si="55"/>
        <v>0</v>
      </c>
      <c r="O182" s="26">
        <f t="shared" ca="1" si="55"/>
        <v>0</v>
      </c>
    </row>
    <row r="183" spans="2:15" x14ac:dyDescent="0.2">
      <c r="B183" s="28" t="s">
        <v>254</v>
      </c>
      <c r="E183" s="26">
        <f t="shared" ref="E183:O183" ca="1" si="56">E47</f>
        <v>228482.82177279069</v>
      </c>
      <c r="F183" s="26">
        <f t="shared" ca="1" si="56"/>
        <v>0</v>
      </c>
      <c r="G183" s="26">
        <f t="shared" ca="1" si="56"/>
        <v>0</v>
      </c>
      <c r="H183" s="26">
        <f t="shared" ca="1" si="56"/>
        <v>0</v>
      </c>
      <c r="I183" s="26">
        <f t="shared" ca="1" si="56"/>
        <v>0</v>
      </c>
      <c r="J183" s="26">
        <f t="shared" ca="1" si="56"/>
        <v>0</v>
      </c>
      <c r="K183" s="26">
        <f t="shared" ca="1" si="56"/>
        <v>0</v>
      </c>
      <c r="L183" s="26">
        <f t="shared" ca="1" si="56"/>
        <v>0</v>
      </c>
      <c r="M183" s="26">
        <f t="shared" ca="1" si="56"/>
        <v>0</v>
      </c>
      <c r="N183" s="26">
        <f t="shared" ca="1" si="56"/>
        <v>0</v>
      </c>
      <c r="O183" s="26">
        <f t="shared" ca="1" si="56"/>
        <v>0</v>
      </c>
    </row>
    <row r="184" spans="2:15" x14ac:dyDescent="0.2">
      <c r="B184" s="28" t="s">
        <v>121</v>
      </c>
      <c r="E184" s="26">
        <f t="shared" ref="E184:O184" ca="1" si="57">E49</f>
        <v>1741482.8217727907</v>
      </c>
      <c r="F184" s="26">
        <f t="shared" ca="1" si="57"/>
        <v>0</v>
      </c>
      <c r="G184" s="26">
        <f t="shared" ca="1" si="57"/>
        <v>0</v>
      </c>
      <c r="H184" s="26">
        <f t="shared" ca="1" si="57"/>
        <v>0</v>
      </c>
      <c r="I184" s="26">
        <f t="shared" ca="1" si="57"/>
        <v>0</v>
      </c>
      <c r="J184" s="26">
        <f t="shared" ca="1" si="57"/>
        <v>0</v>
      </c>
      <c r="K184" s="26">
        <f t="shared" ca="1" si="57"/>
        <v>0</v>
      </c>
      <c r="L184" s="26">
        <f t="shared" ca="1" si="57"/>
        <v>0</v>
      </c>
      <c r="M184" s="26">
        <f t="shared" ca="1" si="57"/>
        <v>0</v>
      </c>
      <c r="N184" s="26">
        <f t="shared" ca="1" si="57"/>
        <v>0</v>
      </c>
      <c r="O184" s="26">
        <f t="shared" ca="1" si="57"/>
        <v>0</v>
      </c>
    </row>
    <row r="185" spans="2:15" ht="13.5" thickBot="1" x14ac:dyDescent="0.25">
      <c r="B185" s="30" t="s">
        <v>122</v>
      </c>
      <c r="C185" s="30"/>
      <c r="D185" s="30"/>
      <c r="E185" s="30">
        <f t="shared" ref="E185:O185" ca="1" si="58">SUM(E179:E184)</f>
        <v>3482965.6435455815</v>
      </c>
      <c r="F185" s="30">
        <f t="shared" ca="1" si="58"/>
        <v>-228482.82177162741</v>
      </c>
      <c r="G185" s="30">
        <f t="shared" ca="1" si="58"/>
        <v>-734466.01941747579</v>
      </c>
      <c r="H185" s="30">
        <f t="shared" ca="1" si="58"/>
        <v>-778533.98058252432</v>
      </c>
      <c r="I185" s="30">
        <f t="shared" ca="1" si="58"/>
        <v>0</v>
      </c>
      <c r="J185" s="30">
        <f t="shared" ca="1" si="58"/>
        <v>0</v>
      </c>
      <c r="K185" s="30">
        <f t="shared" ca="1" si="58"/>
        <v>0</v>
      </c>
      <c r="L185" s="30">
        <f t="shared" ca="1" si="58"/>
        <v>0</v>
      </c>
      <c r="M185" s="30">
        <f t="shared" ca="1" si="58"/>
        <v>0</v>
      </c>
      <c r="N185" s="30">
        <f t="shared" ca="1" si="58"/>
        <v>0</v>
      </c>
      <c r="O185" s="30">
        <f t="shared" ca="1" si="58"/>
        <v>0</v>
      </c>
    </row>
    <row r="187" spans="2:15" x14ac:dyDescent="0.2">
      <c r="B187" s="27" t="s">
        <v>123</v>
      </c>
    </row>
    <row r="188" spans="2:15" x14ac:dyDescent="0.2">
      <c r="B188" s="28" t="s">
        <v>124</v>
      </c>
      <c r="E188" s="26">
        <f t="shared" ref="E188:O188" si="59">-E37</f>
        <v>-3026000</v>
      </c>
      <c r="F188" s="26">
        <f t="shared" si="59"/>
        <v>0</v>
      </c>
      <c r="G188" s="26">
        <f t="shared" si="59"/>
        <v>0</v>
      </c>
      <c r="H188" s="26">
        <f t="shared" si="59"/>
        <v>0</v>
      </c>
      <c r="I188" s="26">
        <f t="shared" si="59"/>
        <v>0</v>
      </c>
      <c r="J188" s="26">
        <f t="shared" si="59"/>
        <v>0</v>
      </c>
      <c r="K188" s="26">
        <f t="shared" si="59"/>
        <v>0</v>
      </c>
      <c r="L188" s="26">
        <f t="shared" si="59"/>
        <v>0</v>
      </c>
      <c r="M188" s="26">
        <f t="shared" si="59"/>
        <v>0</v>
      </c>
      <c r="N188" s="26">
        <f t="shared" si="59"/>
        <v>0</v>
      </c>
      <c r="O188" s="26">
        <f t="shared" si="59"/>
        <v>0</v>
      </c>
    </row>
    <row r="189" spans="2:15" ht="13.5" thickBot="1" x14ac:dyDescent="0.25">
      <c r="B189" s="30" t="s">
        <v>125</v>
      </c>
      <c r="C189" s="30"/>
      <c r="D189" s="30"/>
      <c r="E189" s="30">
        <f t="shared" ref="E189:O189" si="60">SUM(E188:E188)</f>
        <v>-3026000</v>
      </c>
      <c r="F189" s="30">
        <f t="shared" si="60"/>
        <v>0</v>
      </c>
      <c r="G189" s="30">
        <f t="shared" si="60"/>
        <v>0</v>
      </c>
      <c r="H189" s="30">
        <f t="shared" si="60"/>
        <v>0</v>
      </c>
      <c r="I189" s="30">
        <f t="shared" si="60"/>
        <v>0</v>
      </c>
      <c r="J189" s="30">
        <f t="shared" si="60"/>
        <v>0</v>
      </c>
      <c r="K189" s="30">
        <f t="shared" si="60"/>
        <v>0</v>
      </c>
      <c r="L189" s="30">
        <f t="shared" si="60"/>
        <v>0</v>
      </c>
      <c r="M189" s="30">
        <f t="shared" si="60"/>
        <v>0</v>
      </c>
      <c r="N189" s="30">
        <f t="shared" si="60"/>
        <v>0</v>
      </c>
      <c r="O189" s="30">
        <f t="shared" si="60"/>
        <v>0</v>
      </c>
    </row>
    <row r="191" spans="2:15" ht="13.5" thickBot="1" x14ac:dyDescent="0.25">
      <c r="B191" s="30" t="s">
        <v>126</v>
      </c>
      <c r="C191" s="30"/>
      <c r="D191" s="30"/>
      <c r="E191" s="30">
        <f t="shared" ref="E191:O191" ca="1" si="61">SUM(E176,E185,E189)</f>
        <v>259856.26854558149</v>
      </c>
      <c r="F191" s="30">
        <f t="shared" ca="1" si="61"/>
        <v>269996.89354436292</v>
      </c>
      <c r="G191" s="30">
        <f t="shared" ca="1" si="61"/>
        <v>538563.88036767591</v>
      </c>
      <c r="H191" s="30">
        <f t="shared" ca="1" si="61"/>
        <v>952378.16314282711</v>
      </c>
      <c r="I191" s="30">
        <f t="shared" ca="1" si="61"/>
        <v>2290208.7736977106</v>
      </c>
      <c r="J191" s="30">
        <f t="shared" ca="1" si="61"/>
        <v>2845475.5320094377</v>
      </c>
      <c r="K191" s="30">
        <f t="shared" ca="1" si="61"/>
        <v>3432997.0325492616</v>
      </c>
      <c r="L191" s="30">
        <f t="shared" ca="1" si="61"/>
        <v>4092723.2347613303</v>
      </c>
      <c r="M191" s="30">
        <f t="shared" ca="1" si="61"/>
        <v>4893260.4436031682</v>
      </c>
      <c r="N191" s="30">
        <f t="shared" ca="1" si="61"/>
        <v>5295247.4967564661</v>
      </c>
      <c r="O191" s="30">
        <f t="shared" ca="1" si="61"/>
        <v>7294494.0912829572</v>
      </c>
    </row>
    <row r="193" spans="1:16" x14ac:dyDescent="0.2">
      <c r="B193" s="26" t="s">
        <v>127</v>
      </c>
      <c r="E193" s="26">
        <v>0</v>
      </c>
      <c r="F193" s="26">
        <f ca="1">E196</f>
        <v>259856.26854301989</v>
      </c>
      <c r="G193" s="26">
        <f t="shared" ref="G193:O193" ca="1" si="62">F196</f>
        <v>394854.71531457518</v>
      </c>
      <c r="H193" s="26">
        <f t="shared" ca="1" si="62"/>
        <v>664136.65550098405</v>
      </c>
      <c r="I193" s="26">
        <f t="shared" ca="1" si="62"/>
        <v>1140325.7370727947</v>
      </c>
      <c r="J193" s="26">
        <f ca="1">I196</f>
        <v>2285430.1239179438</v>
      </c>
      <c r="K193" s="26">
        <f t="shared" ca="1" si="62"/>
        <v>3708167.8899228033</v>
      </c>
      <c r="L193" s="26">
        <f t="shared" ca="1" si="62"/>
        <v>5424666.4062026422</v>
      </c>
      <c r="M193" s="26">
        <f t="shared" ca="1" si="62"/>
        <v>7471028.0235821214</v>
      </c>
      <c r="N193" s="26">
        <f t="shared" ca="1" si="62"/>
        <v>9917658.2453765739</v>
      </c>
      <c r="O193" s="26">
        <f t="shared" ca="1" si="62"/>
        <v>12565281.993757833</v>
      </c>
    </row>
    <row r="194" spans="1:16" x14ac:dyDescent="0.2">
      <c r="B194" s="116" t="s">
        <v>333</v>
      </c>
      <c r="C194" s="116"/>
      <c r="D194" s="116"/>
      <c r="E194" s="116">
        <v>0</v>
      </c>
      <c r="F194" s="116">
        <f ca="1">IF(F191&lt;0,0,(IF((F191*'Input Sheet'!$D105)&lt;F109,(F191*'Input Sheet'!$D105),0)))</f>
        <v>134998.44677218146</v>
      </c>
      <c r="G194" s="116">
        <f ca="1">IF(G191&lt;0,0,(IF((G191*'Input Sheet'!$D105)&lt;G109,(G191*'Input Sheet'!$D105),0)))</f>
        <v>269281.94018383796</v>
      </c>
      <c r="H194" s="116">
        <f ca="1">IF(H191&lt;0,0,(IF((H191*'Input Sheet'!$D105)&lt;H109,(H191*'Input Sheet'!$D105),0)))</f>
        <v>476189.08157141355</v>
      </c>
      <c r="I194" s="116">
        <f ca="1">IF(I191&lt;0,0,(IF((I191*'Input Sheet'!$D105)&lt;I109,(I191*'Input Sheet'!$D105),0)))</f>
        <v>1145104.3868488553</v>
      </c>
      <c r="J194" s="116">
        <f ca="1">IF(J191&lt;0,0,(IF((J191*'Input Sheet'!$D105)&lt;J109,(J191*'Input Sheet'!$D105),0)))</f>
        <v>1422737.7660047188</v>
      </c>
      <c r="K194" s="116">
        <f ca="1">IF(K191&lt;0,0,(IF((K191*'Input Sheet'!$D105)&lt;K109,(K191*'Input Sheet'!$D105),0)))</f>
        <v>1716498.5162746308</v>
      </c>
      <c r="L194" s="116">
        <f ca="1">IF(L191&lt;0,0,(IF((L191*'Input Sheet'!$D105)&lt;L109,(L191*'Input Sheet'!$D105),0)))</f>
        <v>2046361.6173806651</v>
      </c>
      <c r="M194" s="116">
        <f ca="1">IF(M191&lt;0,0,(IF((M191*'Input Sheet'!$D105)&lt;M109,(M191*'Input Sheet'!$D105),0)))</f>
        <v>2446630.2218015841</v>
      </c>
      <c r="N194" s="116">
        <f ca="1">IF(N191&lt;0,0,(IF((N191*'Input Sheet'!$D105)&lt;N109,(N191*'Input Sheet'!$D105),0)))</f>
        <v>2647623.7483782331</v>
      </c>
      <c r="O194" s="116">
        <f ca="1">IF(O191&lt;0,0,(IF((O191*'Input Sheet'!$D105)&lt;O109,(O191*'Input Sheet'!$D105),0)))</f>
        <v>3647247.0456414786</v>
      </c>
    </row>
    <row r="195" spans="1:16" ht="13.5" thickBot="1" x14ac:dyDescent="0.25">
      <c r="B195" s="30" t="s">
        <v>264</v>
      </c>
      <c r="C195" s="30"/>
      <c r="D195" s="30"/>
      <c r="E195" s="30">
        <f ca="1">SUM(E191,E193)-E194</f>
        <v>259856.26854558149</v>
      </c>
      <c r="F195" s="30">
        <f ca="1">SUM(F191,F193)-F194</f>
        <v>394854.71531520132</v>
      </c>
      <c r="G195" s="30">
        <f t="shared" ref="G195:O195" ca="1" si="63">SUM(G191,G193)-G194</f>
        <v>664136.65549841314</v>
      </c>
      <c r="H195" s="30">
        <f t="shared" ca="1" si="63"/>
        <v>1140325.7370723975</v>
      </c>
      <c r="I195" s="30">
        <f t="shared" ca="1" si="63"/>
        <v>2285430.12392165</v>
      </c>
      <c r="J195" s="30">
        <f t="shared" ca="1" si="63"/>
        <v>3708167.8899226626</v>
      </c>
      <c r="K195" s="30">
        <f t="shared" ca="1" si="63"/>
        <v>5424666.4061974343</v>
      </c>
      <c r="L195" s="30">
        <f t="shared" ca="1" si="63"/>
        <v>7471028.023583306</v>
      </c>
      <c r="M195" s="30">
        <f t="shared" ca="1" si="63"/>
        <v>9917658.2453837041</v>
      </c>
      <c r="N195" s="30">
        <f t="shared" ca="1" si="63"/>
        <v>12565281.993754808</v>
      </c>
      <c r="O195" s="30">
        <f t="shared" ca="1" si="63"/>
        <v>16212529.039399311</v>
      </c>
    </row>
    <row r="196" spans="1:16" x14ac:dyDescent="0.2">
      <c r="B196" s="26" t="s">
        <v>128</v>
      </c>
      <c r="E196" s="26">
        <f ca="1">IF(E195&lt;0,(MAX(Calculations!$E$18,Calculations!$E$19)),E195)</f>
        <v>259856.26854558149</v>
      </c>
      <c r="F196" s="26">
        <f ca="1">IF(F195&lt;0,(MAX(Calculations!$E$18,Calculations!$E$19)),F195)</f>
        <v>394854.71531520132</v>
      </c>
      <c r="G196" s="26">
        <f ca="1">IF(G195&lt;0,(MAX(Calculations!$E$18,Calculations!$E$19)),G195)</f>
        <v>664136.65549841314</v>
      </c>
      <c r="H196" s="26">
        <f ca="1">IF(H195&lt;0,(MAX(Calculations!$E$18,Calculations!$E$19)),H195)</f>
        <v>1140325.7370723975</v>
      </c>
      <c r="I196" s="26">
        <f ca="1">IF(I195&lt;0,(MAX(Calculations!$E$18,Calculations!$E$19)),I195)</f>
        <v>2285430.12392165</v>
      </c>
      <c r="J196" s="26">
        <f ca="1">IF(J195&lt;0,(MAX(Calculations!$E$18,Calculations!$E$19)),J195)</f>
        <v>3708167.8899226626</v>
      </c>
      <c r="K196" s="26">
        <f ca="1">IF(K195&lt;0,(MAX(Calculations!$E$18,Calculations!$E$19)),K195)</f>
        <v>5424666.4061974343</v>
      </c>
      <c r="L196" s="26">
        <f ca="1">IF(L195&lt;0,(MAX(Calculations!$E$18,Calculations!$E$19)),L195)</f>
        <v>7471028.023583306</v>
      </c>
      <c r="M196" s="26">
        <f ca="1">IF(M195&lt;0,(MAX(Calculations!$E$18,Calculations!$E$19)),M195)</f>
        <v>9917658.2453837041</v>
      </c>
      <c r="N196" s="26">
        <f ca="1">IF(N195&lt;0,(MAX(Calculations!$E$18,Calculations!$E$19)),N195)</f>
        <v>12565281.993754808</v>
      </c>
      <c r="O196" s="26">
        <f ca="1">IF(O195&lt;0,(MAX(Calculations!$E$18,Calculations!$E$19)),O195)</f>
        <v>16212529.039399311</v>
      </c>
    </row>
    <row r="198" spans="1:16" ht="9.75" customHeight="1" x14ac:dyDescent="0.2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1:16" ht="18.75" x14ac:dyDescent="0.3">
      <c r="B199" s="31" t="s">
        <v>36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2" t="s">
        <v>6</v>
      </c>
    </row>
    <row r="200" spans="1:16" ht="18.75" x14ac:dyDescent="0.3">
      <c r="B200" s="33" t="s">
        <v>142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2" spans="1:16" x14ac:dyDescent="0.2">
      <c r="B202" s="98"/>
      <c r="C202" s="98"/>
      <c r="D202" s="98"/>
      <c r="E202" s="117" t="s">
        <v>37</v>
      </c>
      <c r="F202" s="117" t="s">
        <v>38</v>
      </c>
      <c r="G202" s="117" t="s">
        <v>39</v>
      </c>
      <c r="H202" s="117" t="s">
        <v>40</v>
      </c>
      <c r="I202" s="117" t="s">
        <v>41</v>
      </c>
      <c r="J202" s="117" t="s">
        <v>42</v>
      </c>
      <c r="K202" s="117" t="s">
        <v>43</v>
      </c>
      <c r="L202" s="117" t="s">
        <v>44</v>
      </c>
      <c r="M202" s="117" t="s">
        <v>45</v>
      </c>
      <c r="N202" s="117" t="s">
        <v>46</v>
      </c>
      <c r="O202" s="117" t="s">
        <v>47</v>
      </c>
    </row>
    <row r="203" spans="1:16" s="90" customFormat="1" x14ac:dyDescent="0.2">
      <c r="A203" s="87"/>
      <c r="B203" s="90" t="s">
        <v>129</v>
      </c>
      <c r="E203" s="90">
        <f t="shared" ref="E203:O203" ca="1" si="64">E$191</f>
        <v>259856.26854558149</v>
      </c>
      <c r="F203" s="90">
        <f t="shared" ca="1" si="64"/>
        <v>269996.89354436292</v>
      </c>
      <c r="G203" s="90">
        <f t="shared" ca="1" si="64"/>
        <v>538563.88036767591</v>
      </c>
      <c r="H203" s="90">
        <f t="shared" ca="1" si="64"/>
        <v>952378.16314282711</v>
      </c>
      <c r="I203" s="90">
        <f t="shared" ca="1" si="64"/>
        <v>2290208.7736977106</v>
      </c>
      <c r="J203" s="90">
        <f t="shared" ca="1" si="64"/>
        <v>2845475.5320094377</v>
      </c>
      <c r="K203" s="90">
        <f t="shared" ca="1" si="64"/>
        <v>3432997.0325492616</v>
      </c>
      <c r="L203" s="90">
        <f t="shared" ca="1" si="64"/>
        <v>4092723.2347613303</v>
      </c>
      <c r="M203" s="90">
        <f t="shared" ca="1" si="64"/>
        <v>4893260.4436031682</v>
      </c>
      <c r="N203" s="90">
        <f t="shared" ca="1" si="64"/>
        <v>5295247.4967564661</v>
      </c>
      <c r="O203" s="90">
        <f t="shared" ca="1" si="64"/>
        <v>7294494.0912829572</v>
      </c>
      <c r="P203" s="87"/>
    </row>
    <row r="205" spans="1:16" x14ac:dyDescent="0.2">
      <c r="B205" s="26" t="s">
        <v>130</v>
      </c>
      <c r="E205" s="26">
        <f t="shared" ref="E205:O205" ca="1" si="65">-E49</f>
        <v>-1741482.8217727907</v>
      </c>
      <c r="F205" s="26">
        <f t="shared" ca="1" si="65"/>
        <v>0</v>
      </c>
      <c r="G205" s="26">
        <f t="shared" ca="1" si="65"/>
        <v>0</v>
      </c>
      <c r="H205" s="26">
        <f t="shared" ca="1" si="65"/>
        <v>0</v>
      </c>
      <c r="I205" s="26">
        <f t="shared" ca="1" si="65"/>
        <v>0</v>
      </c>
      <c r="J205" s="26">
        <f t="shared" ca="1" si="65"/>
        <v>0</v>
      </c>
      <c r="K205" s="26">
        <f t="shared" ca="1" si="65"/>
        <v>0</v>
      </c>
      <c r="L205" s="26">
        <f t="shared" ca="1" si="65"/>
        <v>0</v>
      </c>
      <c r="M205" s="26">
        <f t="shared" ca="1" si="65"/>
        <v>0</v>
      </c>
      <c r="N205" s="26">
        <f t="shared" ca="1" si="65"/>
        <v>0</v>
      </c>
      <c r="O205" s="26">
        <f t="shared" ca="1" si="65"/>
        <v>0</v>
      </c>
    </row>
    <row r="206" spans="1:16" x14ac:dyDescent="0.2">
      <c r="B206" s="26" t="s">
        <v>131</v>
      </c>
    </row>
    <row r="207" spans="1:16" x14ac:dyDescent="0.2">
      <c r="B207" s="26" t="s">
        <v>132</v>
      </c>
      <c r="O207" s="26">
        <f ca="1">(O$128-O$122)-O$149</f>
        <v>900638.10660667985</v>
      </c>
    </row>
    <row r="208" spans="1:16" x14ac:dyDescent="0.2">
      <c r="B208" s="118" t="s">
        <v>143</v>
      </c>
      <c r="C208" s="118"/>
      <c r="D208" s="118"/>
      <c r="E208" s="118"/>
      <c r="F208" s="118">
        <f ca="1">SUM(F102:F104)*(1-'Tax Sheet'!$D$24)</f>
        <v>106928.84240713989</v>
      </c>
      <c r="G208" s="118">
        <f ca="1">SUM(G102:G104)*(1-'Tax Sheet'!$D$24)</f>
        <v>72336.796535964764</v>
      </c>
      <c r="H208" s="118">
        <f ca="1">SUM(H102:H104)*(1-'Tax Sheet'!$D$24)</f>
        <v>37221.846761224588</v>
      </c>
      <c r="I208" s="118">
        <f ca="1">SUM(I102:I104)*(1-'Tax Sheet'!$D$24)</f>
        <v>0</v>
      </c>
      <c r="J208" s="118">
        <f ca="1">SUM(J102:J104)*(1-'Tax Sheet'!$D$24)</f>
        <v>0</v>
      </c>
      <c r="K208" s="118">
        <f ca="1">SUM(K102:K104)*(1-'Tax Sheet'!$D$24)</f>
        <v>0</v>
      </c>
      <c r="L208" s="118">
        <f ca="1">SUM(L102:L104)*(1-'Tax Sheet'!$D$24)</f>
        <v>0</v>
      </c>
      <c r="M208" s="118">
        <f ca="1">SUM(M102:M104)*(1-'Tax Sheet'!$D$24)</f>
        <v>0</v>
      </c>
      <c r="N208" s="118">
        <f ca="1">SUM(N102:N104)*(1-'Tax Sheet'!$D$24)</f>
        <v>0</v>
      </c>
      <c r="O208" s="118">
        <f ca="1">SUM(O102:O104)*(1-'Tax Sheet'!$D$24)</f>
        <v>0</v>
      </c>
    </row>
    <row r="209" spans="2:15" x14ac:dyDescent="0.2">
      <c r="B209" s="118" t="s">
        <v>144</v>
      </c>
      <c r="C209" s="118"/>
      <c r="D209" s="118"/>
      <c r="E209" s="118">
        <f t="shared" ref="E209:O209" ca="1" si="66">SUM(D152:D153)-SUM(E152:E153)</f>
        <v>-1741482.8217715099</v>
      </c>
      <c r="F209" s="118">
        <f t="shared" ca="1" si="66"/>
        <v>228482.82177150995</v>
      </c>
      <c r="G209" s="118">
        <f t="shared" ca="1" si="66"/>
        <v>734466.01941747579</v>
      </c>
      <c r="H209" s="118">
        <f t="shared" ca="1" si="66"/>
        <v>778533.98058252421</v>
      </c>
      <c r="I209" s="118">
        <f t="shared" ca="1" si="66"/>
        <v>0</v>
      </c>
      <c r="J209" s="118">
        <f t="shared" ca="1" si="66"/>
        <v>0</v>
      </c>
      <c r="K209" s="118">
        <f t="shared" ca="1" si="66"/>
        <v>0</v>
      </c>
      <c r="L209" s="118">
        <f t="shared" ca="1" si="66"/>
        <v>0</v>
      </c>
      <c r="M209" s="118">
        <f t="shared" ca="1" si="66"/>
        <v>0</v>
      </c>
      <c r="N209" s="118">
        <f t="shared" ca="1" si="66"/>
        <v>0</v>
      </c>
      <c r="O209" s="118">
        <f t="shared" ca="1" si="66"/>
        <v>0</v>
      </c>
    </row>
    <row r="210" spans="2:15" x14ac:dyDescent="0.2">
      <c r="B210" s="118" t="s">
        <v>266</v>
      </c>
      <c r="C210" s="118"/>
      <c r="D210" s="118"/>
      <c r="E210" s="118">
        <f t="shared" ref="E210:O210" ca="1" si="67">D148-E148</f>
        <v>0</v>
      </c>
      <c r="F210" s="118">
        <f t="shared" ca="1" si="67"/>
        <v>0</v>
      </c>
      <c r="G210" s="118">
        <f t="shared" ca="1" si="67"/>
        <v>0</v>
      </c>
      <c r="H210" s="118">
        <f t="shared" ca="1" si="67"/>
        <v>0</v>
      </c>
      <c r="I210" s="118">
        <f t="shared" ca="1" si="67"/>
        <v>0</v>
      </c>
      <c r="J210" s="118">
        <f t="shared" ca="1" si="67"/>
        <v>0</v>
      </c>
      <c r="K210" s="118">
        <f t="shared" ca="1" si="67"/>
        <v>0</v>
      </c>
      <c r="L210" s="118">
        <f t="shared" ca="1" si="67"/>
        <v>0</v>
      </c>
      <c r="M210" s="118">
        <f t="shared" ca="1" si="67"/>
        <v>0</v>
      </c>
      <c r="N210" s="118">
        <f t="shared" ca="1" si="67"/>
        <v>0</v>
      </c>
      <c r="O210" s="118">
        <f t="shared" ca="1" si="67"/>
        <v>0</v>
      </c>
    </row>
    <row r="211" spans="2:15" x14ac:dyDescent="0.2">
      <c r="B211" s="26" t="s">
        <v>133</v>
      </c>
      <c r="O211" s="26">
        <f>'Depreciation Ammortization'!$O$38</f>
        <v>557500</v>
      </c>
    </row>
    <row r="212" spans="2:15" x14ac:dyDescent="0.2">
      <c r="B212" s="115" t="s">
        <v>85</v>
      </c>
      <c r="C212" s="115"/>
      <c r="D212" s="115"/>
      <c r="E212" s="115">
        <f t="shared" ref="E212:O212" ca="1" si="68">SUM(E205:E211)</f>
        <v>-3482965.6435443005</v>
      </c>
      <c r="F212" s="115">
        <f t="shared" ca="1" si="68"/>
        <v>335411.66417864984</v>
      </c>
      <c r="G212" s="115">
        <f t="shared" ca="1" si="68"/>
        <v>806802.8159534405</v>
      </c>
      <c r="H212" s="115">
        <f t="shared" ca="1" si="68"/>
        <v>815755.82734374877</v>
      </c>
      <c r="I212" s="115">
        <f t="shared" ca="1" si="68"/>
        <v>0</v>
      </c>
      <c r="J212" s="115">
        <f t="shared" ca="1" si="68"/>
        <v>0</v>
      </c>
      <c r="K212" s="115">
        <f t="shared" ca="1" si="68"/>
        <v>0</v>
      </c>
      <c r="L212" s="115">
        <f t="shared" ca="1" si="68"/>
        <v>0</v>
      </c>
      <c r="M212" s="115">
        <f t="shared" ca="1" si="68"/>
        <v>0</v>
      </c>
      <c r="N212" s="115">
        <f t="shared" ca="1" si="68"/>
        <v>0</v>
      </c>
      <c r="O212" s="115">
        <f t="shared" ca="1" si="68"/>
        <v>1458138.10660668</v>
      </c>
    </row>
    <row r="213" spans="2:15" ht="13.5" thickBot="1" x14ac:dyDescent="0.25">
      <c r="B213" s="29" t="s">
        <v>134</v>
      </c>
      <c r="C213" s="29"/>
      <c r="D213" s="29"/>
      <c r="E213" s="29">
        <f ca="1">E212</f>
        <v>-3482965.6435443005</v>
      </c>
      <c r="F213" s="29">
        <f t="shared" ref="F213:O213" ca="1" si="69">SUM(F203,F212)</f>
        <v>605408.55772301275</v>
      </c>
      <c r="G213" s="29">
        <f t="shared" ca="1" si="69"/>
        <v>1345366.6963211163</v>
      </c>
      <c r="H213" s="29">
        <f t="shared" ca="1" si="69"/>
        <v>1768133.9904865758</v>
      </c>
      <c r="I213" s="29">
        <f t="shared" ca="1" si="69"/>
        <v>2290208.7736977106</v>
      </c>
      <c r="J213" s="29">
        <f t="shared" ca="1" si="69"/>
        <v>2845475.5320094377</v>
      </c>
      <c r="K213" s="29">
        <f t="shared" ca="1" si="69"/>
        <v>3432997.0325492616</v>
      </c>
      <c r="L213" s="29">
        <f t="shared" ca="1" si="69"/>
        <v>4092723.2347613303</v>
      </c>
      <c r="M213" s="29">
        <f t="shared" ca="1" si="69"/>
        <v>4893260.4436031682</v>
      </c>
      <c r="N213" s="29">
        <f t="shared" ca="1" si="69"/>
        <v>5295247.4967564661</v>
      </c>
      <c r="O213" s="29">
        <f t="shared" ca="1" si="69"/>
        <v>8752632.1978896372</v>
      </c>
    </row>
    <row r="214" spans="2:15" x14ac:dyDescent="0.2">
      <c r="B214" s="23"/>
    </row>
    <row r="215" spans="2:15" x14ac:dyDescent="0.2">
      <c r="B215" s="98" t="s">
        <v>135</v>
      </c>
      <c r="C215" s="98"/>
      <c r="D215" s="98"/>
      <c r="E215" s="99" t="s">
        <v>37</v>
      </c>
      <c r="F215" s="99" t="s">
        <v>38</v>
      </c>
      <c r="G215" s="99" t="s">
        <v>39</v>
      </c>
      <c r="H215" s="99" t="s">
        <v>40</v>
      </c>
      <c r="I215" s="99" t="s">
        <v>41</v>
      </c>
      <c r="J215" s="99" t="s">
        <v>42</v>
      </c>
      <c r="K215" s="99" t="s">
        <v>43</v>
      </c>
      <c r="L215" s="99" t="s">
        <v>44</v>
      </c>
      <c r="M215" s="99" t="s">
        <v>45</v>
      </c>
      <c r="N215" s="99" t="s">
        <v>46</v>
      </c>
      <c r="O215" s="99" t="s">
        <v>47</v>
      </c>
    </row>
    <row r="216" spans="2:15" x14ac:dyDescent="0.2">
      <c r="B216" s="26" t="s">
        <v>136</v>
      </c>
      <c r="E216" s="26">
        <f ca="1">E213</f>
        <v>-3482965.6435443005</v>
      </c>
      <c r="F216" s="26">
        <f t="shared" ref="F216:O216" ca="1" si="70">E216+F213</f>
        <v>-2877557.0858212877</v>
      </c>
      <c r="G216" s="26">
        <f t="shared" ca="1" si="70"/>
        <v>-1532190.3895001714</v>
      </c>
      <c r="H216" s="26">
        <f t="shared" ca="1" si="70"/>
        <v>235943.60098640434</v>
      </c>
      <c r="I216" s="26">
        <f t="shared" ca="1" si="70"/>
        <v>2526152.3746841149</v>
      </c>
      <c r="J216" s="26">
        <f t="shared" ca="1" si="70"/>
        <v>5371627.9066935526</v>
      </c>
      <c r="K216" s="26">
        <f t="shared" ca="1" si="70"/>
        <v>8804624.9392428137</v>
      </c>
      <c r="L216" s="26">
        <f t="shared" ca="1" si="70"/>
        <v>12897348.174004145</v>
      </c>
      <c r="M216" s="26">
        <f t="shared" ca="1" si="70"/>
        <v>17790608.617607314</v>
      </c>
      <c r="N216" s="26">
        <f t="shared" ca="1" si="70"/>
        <v>23085856.114363782</v>
      </c>
      <c r="O216" s="26">
        <f t="shared" ca="1" si="70"/>
        <v>31838488.312253419</v>
      </c>
    </row>
    <row r="217" spans="2:15" x14ac:dyDescent="0.2">
      <c r="B217" s="26" t="s">
        <v>137</v>
      </c>
      <c r="E217" s="119"/>
      <c r="F217" s="119">
        <f t="shared" ref="F217:O217" ca="1" si="71">IF(F216&lt;0,1,IF(AND(F216&gt;0,E217=1),-E216/F213,0))</f>
        <v>1</v>
      </c>
      <c r="G217" s="119">
        <f t="shared" ca="1" si="71"/>
        <v>1</v>
      </c>
      <c r="H217" s="119">
        <f t="shared" ca="1" si="71"/>
        <v>0.86655785010870434</v>
      </c>
      <c r="I217" s="119">
        <f t="shared" ca="1" si="71"/>
        <v>0</v>
      </c>
      <c r="J217" s="119">
        <f t="shared" ca="1" si="71"/>
        <v>0</v>
      </c>
      <c r="K217" s="119">
        <f t="shared" ca="1" si="71"/>
        <v>0</v>
      </c>
      <c r="L217" s="119">
        <f t="shared" ca="1" si="71"/>
        <v>0</v>
      </c>
      <c r="M217" s="119">
        <f t="shared" ca="1" si="71"/>
        <v>0</v>
      </c>
      <c r="N217" s="119">
        <f t="shared" ca="1" si="71"/>
        <v>0</v>
      </c>
      <c r="O217" s="119">
        <f t="shared" ca="1" si="71"/>
        <v>0</v>
      </c>
    </row>
    <row r="219" spans="2:15" x14ac:dyDescent="0.2">
      <c r="B219" s="120" t="s">
        <v>138</v>
      </c>
      <c r="C219" s="121"/>
      <c r="D219" s="122">
        <f ca="1">IRR(E213:O213,0.1)</f>
        <v>0.48909168455956498</v>
      </c>
      <c r="F219" s="111"/>
    </row>
    <row r="220" spans="2:15" x14ac:dyDescent="0.2">
      <c r="B220" s="123" t="s">
        <v>139</v>
      </c>
      <c r="C220" s="124"/>
      <c r="D220" s="125">
        <f ca="1">MIRR(E213:O213,'Input Sheet'!$D$99,'Input Sheet'!$D$104)</f>
        <v>0.26069182946382896</v>
      </c>
      <c r="F220" s="126"/>
    </row>
    <row r="221" spans="2:15" x14ac:dyDescent="0.2">
      <c r="B221" s="123" t="s">
        <v>140</v>
      </c>
      <c r="C221" s="124"/>
      <c r="D221" s="127">
        <f ca="1">NPV('Financial Analysis'!$D$33,F213:O213)+E213</f>
        <v>4867876.9616419142</v>
      </c>
    </row>
    <row r="222" spans="2:15" x14ac:dyDescent="0.2">
      <c r="B222" s="128" t="s">
        <v>141</v>
      </c>
      <c r="C222" s="129"/>
      <c r="D222" s="130">
        <f ca="1">SUM(F217:O217)</f>
        <v>2.8665578501087046</v>
      </c>
      <c r="F222" s="119"/>
    </row>
    <row r="224" spans="2:15" ht="9.75" customHeight="1" x14ac:dyDescent="0.2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2:15" ht="18.75" x14ac:dyDescent="0.3">
      <c r="B225" s="31" t="s">
        <v>36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2" t="s">
        <v>6</v>
      </c>
    </row>
    <row r="226" spans="2:15" ht="18.75" x14ac:dyDescent="0.3">
      <c r="B226" s="33" t="s">
        <v>145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8" spans="2:15" x14ac:dyDescent="0.2">
      <c r="B228" s="98"/>
      <c r="C228" s="98"/>
      <c r="D228" s="98"/>
      <c r="E228" s="117" t="s">
        <v>37</v>
      </c>
      <c r="F228" s="117" t="s">
        <v>38</v>
      </c>
      <c r="G228" s="117" t="s">
        <v>39</v>
      </c>
      <c r="H228" s="117" t="s">
        <v>40</v>
      </c>
      <c r="I228" s="117" t="s">
        <v>41</v>
      </c>
      <c r="J228" s="117" t="s">
        <v>42</v>
      </c>
      <c r="K228" s="117" t="s">
        <v>43</v>
      </c>
      <c r="L228" s="117" t="s">
        <v>44</v>
      </c>
      <c r="M228" s="117" t="s">
        <v>45</v>
      </c>
      <c r="N228" s="117" t="s">
        <v>46</v>
      </c>
      <c r="O228" s="117" t="s">
        <v>47</v>
      </c>
    </row>
    <row r="229" spans="2:15" x14ac:dyDescent="0.2">
      <c r="B229" s="27" t="s">
        <v>146</v>
      </c>
    </row>
    <row r="230" spans="2:15" x14ac:dyDescent="0.2">
      <c r="B230" s="28" t="s">
        <v>147</v>
      </c>
      <c r="F230" s="111">
        <f t="shared" ref="F230:O230" ca="1" si="72">F109/F72</f>
        <v>3.813344425570276E-2</v>
      </c>
      <c r="G230" s="111">
        <f t="shared" ca="1" si="72"/>
        <v>9.8750605048324294E-2</v>
      </c>
      <c r="H230" s="111">
        <f t="shared" ca="1" si="72"/>
        <v>0.13425353265923931</v>
      </c>
      <c r="I230" s="111">
        <f t="shared" ca="1" si="72"/>
        <v>0.1619329357830028</v>
      </c>
      <c r="J230" s="111">
        <f t="shared" ca="1" si="72"/>
        <v>0.1786694263624265</v>
      </c>
      <c r="K230" s="111">
        <f t="shared" ca="1" si="72"/>
        <v>0.1925195740914234</v>
      </c>
      <c r="L230" s="111">
        <f t="shared" ca="1" si="72"/>
        <v>0.20029172359668021</v>
      </c>
      <c r="M230" s="111">
        <f t="shared" ca="1" si="72"/>
        <v>0.20657784640327917</v>
      </c>
      <c r="N230" s="111">
        <f t="shared" ca="1" si="72"/>
        <v>0.20462667515026262</v>
      </c>
      <c r="O230" s="111">
        <f t="shared" ca="1" si="72"/>
        <v>0.20262940868031004</v>
      </c>
    </row>
    <row r="231" spans="2:15" x14ac:dyDescent="0.2">
      <c r="B231" s="28" t="s">
        <v>326</v>
      </c>
      <c r="F231" s="111">
        <f t="shared" ref="F231:O231" ca="1" si="73">F100/F143</f>
        <v>0.12089505661396267</v>
      </c>
      <c r="G231" s="111">
        <f t="shared" ca="1" si="73"/>
        <v>0.29830844000854329</v>
      </c>
      <c r="H231" s="111">
        <f t="shared" ca="1" si="73"/>
        <v>0.4421337785077758</v>
      </c>
      <c r="I231" s="111">
        <f t="shared" ca="1" si="73"/>
        <v>0.49719078351407114</v>
      </c>
      <c r="J231" s="111">
        <f t="shared" ca="1" si="73"/>
        <v>0.51932909749601619</v>
      </c>
      <c r="K231" s="111">
        <f t="shared" ca="1" si="73"/>
        <v>0.52708306522428505</v>
      </c>
      <c r="L231" s="111">
        <f t="shared" ca="1" si="73"/>
        <v>0.51897790099481655</v>
      </c>
      <c r="M231" s="111">
        <f t="shared" ca="1" si="73"/>
        <v>0.50897303449771503</v>
      </c>
      <c r="N231" s="111">
        <f t="shared" ca="1" si="73"/>
        <v>0.45989903287601014</v>
      </c>
      <c r="O231" s="111">
        <f t="shared" ca="1" si="73"/>
        <v>0.44218474652326784</v>
      </c>
    </row>
    <row r="232" spans="2:15" x14ac:dyDescent="0.2">
      <c r="B232" s="28" t="s">
        <v>325</v>
      </c>
      <c r="F232" s="111">
        <f t="shared" ref="F232:O232" ca="1" si="74">F109/F143</f>
        <v>8.3269689796873048E-2</v>
      </c>
      <c r="G232" s="111">
        <f t="shared" ca="1" si="74"/>
        <v>0.26401730216784375</v>
      </c>
      <c r="H232" s="111">
        <f t="shared" ca="1" si="74"/>
        <v>0.3940573882670933</v>
      </c>
      <c r="I232" s="111">
        <f t="shared" ca="1" si="74"/>
        <v>0.44121470720483669</v>
      </c>
      <c r="J232" s="111">
        <f t="shared" ca="1" si="74"/>
        <v>0.44410710964057104</v>
      </c>
      <c r="K232" s="111">
        <f t="shared" ca="1" si="74"/>
        <v>0.43303264925647739</v>
      </c>
      <c r="L232" s="111">
        <f t="shared" ca="1" si="74"/>
        <v>0.41078466844774214</v>
      </c>
      <c r="M232" s="111">
        <f t="shared" ca="1" si="74"/>
        <v>0.39043924919695799</v>
      </c>
      <c r="N232" s="111">
        <f t="shared" ca="1" si="74"/>
        <v>0.34759313177407775</v>
      </c>
      <c r="O232" s="111">
        <f t="shared" ca="1" si="74"/>
        <v>0.32980532043943361</v>
      </c>
    </row>
    <row r="233" spans="2:15" x14ac:dyDescent="0.2">
      <c r="B233" s="28" t="s">
        <v>148</v>
      </c>
      <c r="F233" s="111">
        <f t="shared" ref="F233:O233" ca="1" si="75">F109/F159</f>
        <v>0.15602222900975921</v>
      </c>
      <c r="G233" s="111">
        <f t="shared" ca="1" si="75"/>
        <v>0.36289032408877026</v>
      </c>
      <c r="H233" s="111">
        <f t="shared" ca="1" si="75"/>
        <v>0.41783953011166564</v>
      </c>
      <c r="I233" s="111">
        <f t="shared" ca="1" si="75"/>
        <v>0.46594871889111461</v>
      </c>
      <c r="J233" s="111">
        <f t="shared" ca="1" si="75"/>
        <v>0.46683526722857249</v>
      </c>
      <c r="K233" s="111">
        <f t="shared" ca="1" si="75"/>
        <v>0.45311592075728141</v>
      </c>
      <c r="L233" s="111">
        <f t="shared" ca="1" si="75"/>
        <v>0.4282071388371293</v>
      </c>
      <c r="M233" s="111">
        <f t="shared" ca="1" si="75"/>
        <v>0.40569690497798572</v>
      </c>
      <c r="N233" s="111">
        <f t="shared" ca="1" si="75"/>
        <v>0.35986082909893802</v>
      </c>
      <c r="O233" s="111">
        <f t="shared" ca="1" si="75"/>
        <v>0.33985969272499661</v>
      </c>
    </row>
    <row r="234" spans="2:15" x14ac:dyDescent="0.2">
      <c r="B234" s="27" t="s">
        <v>149</v>
      </c>
    </row>
    <row r="235" spans="2:15" x14ac:dyDescent="0.2">
      <c r="B235" s="28" t="s">
        <v>150</v>
      </c>
      <c r="F235" s="26">
        <f t="shared" ref="F235:O235" ca="1" si="76">F128/F149</f>
        <v>6.8689475138965701</v>
      </c>
      <c r="G235" s="26">
        <f t="shared" ca="1" si="76"/>
        <v>7.7342495413454424</v>
      </c>
      <c r="H235" s="26">
        <f t="shared" ca="1" si="76"/>
        <v>9.4483859642690042</v>
      </c>
      <c r="I235" s="26">
        <f t="shared" ca="1" si="76"/>
        <v>13.189957646602286</v>
      </c>
      <c r="J235" s="26">
        <f t="shared" ca="1" si="76"/>
        <v>16.643145451157739</v>
      </c>
      <c r="K235" s="26">
        <f t="shared" ca="1" si="76"/>
        <v>19.75564974865981</v>
      </c>
      <c r="L235" s="26">
        <f t="shared" ca="1" si="76"/>
        <v>22.550071147725273</v>
      </c>
      <c r="M235" s="26">
        <f t="shared" ca="1" si="76"/>
        <v>25.113631763546572</v>
      </c>
      <c r="N235" s="26">
        <f t="shared" ca="1" si="76"/>
        <v>28.206503820809417</v>
      </c>
      <c r="O235" s="26">
        <f t="shared" ca="1" si="76"/>
        <v>32.841857131622596</v>
      </c>
    </row>
    <row r="236" spans="2:15" x14ac:dyDescent="0.2">
      <c r="B236" s="28" t="s">
        <v>151</v>
      </c>
      <c r="F236" s="26">
        <f t="shared" ref="F236:O236" ca="1" si="77">(F128-(F125+F126))/F149</f>
        <v>5.6420704298845763</v>
      </c>
      <c r="G236" s="26">
        <f t="shared" ca="1" si="77"/>
        <v>6.416341197455635</v>
      </c>
      <c r="H236" s="26">
        <f t="shared" ca="1" si="77"/>
        <v>8.0119126402821479</v>
      </c>
      <c r="I236" s="26">
        <f t="shared" ca="1" si="77"/>
        <v>11.624225724806156</v>
      </c>
      <c r="J236" s="26">
        <f t="shared" ca="1" si="77"/>
        <v>14.936722960477685</v>
      </c>
      <c r="K236" s="26">
        <f t="shared" ca="1" si="77"/>
        <v>17.896327896562195</v>
      </c>
      <c r="L236" s="26">
        <f t="shared" ca="1" si="77"/>
        <v>20.524832700326176</v>
      </c>
      <c r="M236" s="26">
        <f t="shared" ca="1" si="77"/>
        <v>23.007739784226423</v>
      </c>
      <c r="N236" s="26">
        <f t="shared" ca="1" si="77"/>
        <v>25.911703113456884</v>
      </c>
      <c r="O236" s="26">
        <f t="shared" ca="1" si="77"/>
        <v>32.841857131622596</v>
      </c>
    </row>
    <row r="237" spans="2:15" x14ac:dyDescent="0.2">
      <c r="B237" s="27" t="s">
        <v>152</v>
      </c>
    </row>
    <row r="238" spans="2:15" x14ac:dyDescent="0.2">
      <c r="B238" s="28" t="s">
        <v>153</v>
      </c>
      <c r="F238" s="26">
        <f t="shared" ref="F238:N238" si="78">F72/(F125+F126)</f>
        <v>42.303185902672425</v>
      </c>
      <c r="G238" s="26">
        <f t="shared" si="78"/>
        <v>39.28801505136969</v>
      </c>
      <c r="H238" s="26">
        <f t="shared" si="78"/>
        <v>35.899977351911993</v>
      </c>
      <c r="I238" s="26">
        <f t="shared" si="78"/>
        <v>32.782366771958031</v>
      </c>
      <c r="J238" s="26">
        <f t="shared" si="78"/>
        <v>29.91926761458582</v>
      </c>
      <c r="K238" s="26">
        <f t="shared" si="78"/>
        <v>27.293962426236988</v>
      </c>
      <c r="L238" s="26">
        <f t="shared" si="78"/>
        <v>24.889655496077015</v>
      </c>
      <c r="M238" s="26">
        <f t="shared" si="78"/>
        <v>23.864225956328916</v>
      </c>
      <c r="N238" s="26">
        <f t="shared" si="78"/>
        <v>21.713798060671209</v>
      </c>
    </row>
    <row r="239" spans="2:15" x14ac:dyDescent="0.2">
      <c r="B239" s="28" t="s">
        <v>154</v>
      </c>
      <c r="F239" s="26">
        <f t="shared" ref="F239:O239" si="79">F123/(F72/360)</f>
        <v>14.794520547945204</v>
      </c>
      <c r="G239" s="26">
        <f t="shared" si="79"/>
        <v>13.50912895640066</v>
      </c>
      <c r="H239" s="26">
        <f t="shared" si="79"/>
        <v>13.641128248211043</v>
      </c>
      <c r="I239" s="26">
        <f t="shared" si="79"/>
        <v>13.673224850636585</v>
      </c>
      <c r="J239" s="26">
        <f t="shared" si="79"/>
        <v>13.701305194155907</v>
      </c>
      <c r="K239" s="26">
        <f t="shared" si="79"/>
        <v>13.726078725877077</v>
      </c>
      <c r="L239" s="26">
        <f t="shared" si="79"/>
        <v>13.748097091883194</v>
      </c>
      <c r="M239" s="26">
        <f t="shared" si="79"/>
        <v>13.767795700276727</v>
      </c>
      <c r="N239" s="26">
        <f t="shared" si="79"/>
        <v>14.116143409582486</v>
      </c>
      <c r="O239" s="26">
        <f t="shared" si="79"/>
        <v>14.122042341220421</v>
      </c>
    </row>
    <row r="240" spans="2:15" x14ac:dyDescent="0.2">
      <c r="B240" s="28" t="s">
        <v>155</v>
      </c>
      <c r="F240" s="26">
        <f t="shared" ref="F240:O240" si="80">F72/F137</f>
        <v>3.3641468682505398</v>
      </c>
      <c r="G240" s="26">
        <f t="shared" si="80"/>
        <v>4.8288422131147541</v>
      </c>
      <c r="H240" s="26">
        <f t="shared" si="80"/>
        <v>6.7754273666327904</v>
      </c>
      <c r="I240" s="26">
        <f t="shared" si="80"/>
        <v>9.447289529286687</v>
      </c>
      <c r="J240" s="26">
        <f t="shared" si="80"/>
        <v>13.101637541301711</v>
      </c>
      <c r="K240" s="26">
        <f t="shared" si="80"/>
        <v>18.084105312899919</v>
      </c>
      <c r="L240" s="26">
        <f t="shared" si="80"/>
        <v>24.85850759766835</v>
      </c>
      <c r="M240" s="26">
        <f t="shared" si="80"/>
        <v>34.046448519399888</v>
      </c>
      <c r="N240" s="26">
        <f t="shared" si="80"/>
        <v>44.192831643287441</v>
      </c>
      <c r="O240" s="26">
        <f t="shared" si="80"/>
        <v>57.291334821975255</v>
      </c>
    </row>
    <row r="241" spans="2:15" x14ac:dyDescent="0.2">
      <c r="B241" s="28" t="s">
        <v>156</v>
      </c>
      <c r="F241" s="26">
        <f t="shared" ref="F241:O241" ca="1" si="81">F72/F143</f>
        <v>2.1836393596788803</v>
      </c>
      <c r="G241" s="26">
        <f t="shared" ca="1" si="81"/>
        <v>2.6735765521501871</v>
      </c>
      <c r="H241" s="26">
        <f t="shared" ca="1" si="81"/>
        <v>2.9351733281185606</v>
      </c>
      <c r="I241" s="26">
        <f t="shared" ca="1" si="81"/>
        <v>2.7246755273805672</v>
      </c>
      <c r="J241" s="26">
        <f t="shared" ca="1" si="81"/>
        <v>2.4856357278480918</v>
      </c>
      <c r="K241" s="26">
        <f t="shared" ca="1" si="81"/>
        <v>2.2492915398350064</v>
      </c>
      <c r="L241" s="26">
        <f t="shared" ca="1" si="81"/>
        <v>2.050931816208859</v>
      </c>
      <c r="M241" s="26">
        <f t="shared" ca="1" si="81"/>
        <v>1.8900344639799684</v>
      </c>
      <c r="N241" s="26">
        <f t="shared" ca="1" si="81"/>
        <v>1.6986696945490181</v>
      </c>
      <c r="O241" s="26">
        <f t="shared" ca="1" si="81"/>
        <v>1.627628104860978</v>
      </c>
    </row>
    <row r="242" spans="2:15" x14ac:dyDescent="0.2">
      <c r="B242" s="27" t="s">
        <v>157</v>
      </c>
    </row>
    <row r="243" spans="2:15" x14ac:dyDescent="0.2">
      <c r="B243" s="28" t="s">
        <v>158</v>
      </c>
      <c r="E243" s="111">
        <f ca="1">(E148+E152+E153)/E143</f>
        <v>0.49999994882853005</v>
      </c>
      <c r="F243" s="111">
        <f t="shared" ref="F243:O243" ca="1" si="82">(F148+F152+F153)/F143</f>
        <v>0.42422269532539114</v>
      </c>
      <c r="G243" s="111">
        <f t="shared" ca="1" si="82"/>
        <v>0.22082455739373277</v>
      </c>
      <c r="H243" s="111">
        <f t="shared" ca="1" si="82"/>
        <v>0</v>
      </c>
      <c r="I243" s="111">
        <f t="shared" ca="1" si="82"/>
        <v>0</v>
      </c>
      <c r="J243" s="111">
        <f t="shared" ca="1" si="82"/>
        <v>0</v>
      </c>
      <c r="K243" s="111">
        <f t="shared" ca="1" si="82"/>
        <v>0</v>
      </c>
      <c r="L243" s="111">
        <f t="shared" ca="1" si="82"/>
        <v>0</v>
      </c>
      <c r="M243" s="111">
        <f t="shared" ca="1" si="82"/>
        <v>0</v>
      </c>
      <c r="N243" s="111">
        <f t="shared" ca="1" si="82"/>
        <v>0</v>
      </c>
      <c r="O243" s="111">
        <f t="shared" ca="1" si="82"/>
        <v>0</v>
      </c>
    </row>
    <row r="245" spans="2:15" ht="9.75" customHeight="1" x14ac:dyDescent="0.2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</sheetData>
  <sheetProtection algorithmName="SHA-512" hashValue="HUYkVtwFX6Kgx8wek+6lUJGxDNYCLOLj1+PiznwgLjzkqE15gPR/UEP8dvWXIM/+Kn+88i7i9iQy5zCtaL1F1A==" saltValue="pcHeZURZw/7U+cL+oUm/YQ==" spinCount="100000" sheet="1" formatCells="0" formatColumns="0" formatRows="0" insertColumns="0" insertRows="0" insertHyperlinks="0" deleteColumns="0" deleteRows="0" sort="0" autoFilter="0" pivotTables="0"/>
  <mergeCells count="2">
    <mergeCell ref="B120:D120"/>
    <mergeCell ref="B145:D145"/>
  </mergeCells>
  <dataValidations count="1">
    <dataValidation type="whole" showInputMessage="1" showErrorMessage="1" sqref="S64">
      <formula1>60</formula1>
      <formula2>70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</sheetPr>
  <dimension ref="A1:U55"/>
  <sheetViews>
    <sheetView zoomScale="125" zoomScaleNormal="100" workbookViewId="0">
      <selection activeCell="O31" sqref="O31"/>
    </sheetView>
  </sheetViews>
  <sheetFormatPr defaultColWidth="8.85546875" defaultRowHeight="12.75" x14ac:dyDescent="0.2"/>
  <cols>
    <col min="1" max="1" width="1.140625" style="42" customWidth="1"/>
    <col min="2" max="2" width="34.42578125" style="42" bestFit="1" customWidth="1"/>
    <col min="3" max="7" width="10.28515625" style="42" bestFit="1" customWidth="1"/>
    <col min="8" max="13" width="9.28515625" style="42" bestFit="1" customWidth="1"/>
    <col min="14" max="14" width="2.42578125" style="42" customWidth="1"/>
    <col min="15" max="15" width="14.42578125" style="42" bestFit="1" customWidth="1"/>
    <col min="16" max="16" width="1.42578125" style="42" customWidth="1"/>
    <col min="17" max="16384" width="8.85546875" style="42"/>
  </cols>
  <sheetData>
    <row r="1" spans="1:21" ht="9.75" customHeight="1" x14ac:dyDescent="0.2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21" ht="18.75" x14ac:dyDescent="0.3">
      <c r="A2" s="25"/>
      <c r="B2" s="31" t="s">
        <v>36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82"/>
    </row>
    <row r="3" spans="1:21" ht="18.75" x14ac:dyDescent="0.3">
      <c r="A3" s="25"/>
      <c r="B3" s="33" t="s">
        <v>309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82"/>
    </row>
    <row r="4" spans="1:21" x14ac:dyDescent="0.2">
      <c r="A4" s="183"/>
      <c r="B4" s="184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25"/>
    </row>
    <row r="5" spans="1:21" x14ac:dyDescent="0.2">
      <c r="A5" s="183"/>
      <c r="B5" s="184" t="s">
        <v>308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25"/>
    </row>
    <row r="6" spans="1:21" x14ac:dyDescent="0.2">
      <c r="A6" s="183"/>
      <c r="B6" s="88"/>
      <c r="C6" s="185" t="s">
        <v>55</v>
      </c>
      <c r="D6" s="185" t="s">
        <v>55</v>
      </c>
      <c r="E6" s="185" t="s">
        <v>55</v>
      </c>
      <c r="F6" s="185" t="s">
        <v>55</v>
      </c>
      <c r="G6" s="185" t="s">
        <v>55</v>
      </c>
      <c r="H6" s="185" t="s">
        <v>55</v>
      </c>
      <c r="I6" s="185" t="s">
        <v>55</v>
      </c>
      <c r="J6" s="185" t="s">
        <v>55</v>
      </c>
      <c r="K6" s="185" t="s">
        <v>55</v>
      </c>
      <c r="L6" s="185" t="s">
        <v>55</v>
      </c>
      <c r="M6" s="185" t="s">
        <v>55</v>
      </c>
      <c r="N6" s="185"/>
      <c r="O6" s="185" t="s">
        <v>255</v>
      </c>
      <c r="P6" s="25"/>
    </row>
    <row r="7" spans="1:21" x14ac:dyDescent="0.2">
      <c r="A7" s="186"/>
      <c r="B7" s="136"/>
      <c r="C7" s="187">
        <v>0</v>
      </c>
      <c r="D7" s="187">
        <v>1</v>
      </c>
      <c r="E7" s="187">
        <v>2</v>
      </c>
      <c r="F7" s="187">
        <v>3</v>
      </c>
      <c r="G7" s="187">
        <v>4</v>
      </c>
      <c r="H7" s="187">
        <v>5</v>
      </c>
      <c r="I7" s="187">
        <v>6</v>
      </c>
      <c r="J7" s="187">
        <v>7</v>
      </c>
      <c r="K7" s="187">
        <v>8</v>
      </c>
      <c r="L7" s="187">
        <v>9</v>
      </c>
      <c r="M7" s="187">
        <v>10</v>
      </c>
      <c r="N7" s="136"/>
      <c r="O7" s="136"/>
      <c r="P7" s="87"/>
    </row>
    <row r="8" spans="1:21" x14ac:dyDescent="0.2">
      <c r="A8" s="25"/>
      <c r="B8" s="188" t="s">
        <v>29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25"/>
    </row>
    <row r="9" spans="1:21" x14ac:dyDescent="0.2">
      <c r="A9" s="25"/>
      <c r="B9" s="189" t="s">
        <v>256</v>
      </c>
      <c r="C9" s="190"/>
      <c r="D9" s="191">
        <f>C11</f>
        <v>0</v>
      </c>
      <c r="E9" s="191">
        <f>D11</f>
        <v>0</v>
      </c>
      <c r="F9" s="191">
        <f t="shared" ref="F9:K9" si="0">E11</f>
        <v>0</v>
      </c>
      <c r="G9" s="191">
        <f t="shared" si="0"/>
        <v>0</v>
      </c>
      <c r="H9" s="191">
        <f t="shared" si="0"/>
        <v>0</v>
      </c>
      <c r="I9" s="191">
        <f t="shared" si="0"/>
        <v>0</v>
      </c>
      <c r="J9" s="191">
        <f t="shared" si="0"/>
        <v>0</v>
      </c>
      <c r="K9" s="191">
        <f t="shared" si="0"/>
        <v>0</v>
      </c>
      <c r="L9" s="191">
        <f>K11</f>
        <v>0</v>
      </c>
      <c r="M9" s="191">
        <f>L11</f>
        <v>0</v>
      </c>
      <c r="N9" s="136"/>
      <c r="O9" s="136"/>
      <c r="P9" s="25"/>
    </row>
    <row r="10" spans="1:21" x14ac:dyDescent="0.2">
      <c r="A10" s="25"/>
      <c r="B10" s="189" t="s">
        <v>160</v>
      </c>
      <c r="C10" s="286">
        <v>0</v>
      </c>
      <c r="D10" s="191">
        <f>D9*$C$10</f>
        <v>0</v>
      </c>
      <c r="E10" s="191">
        <f t="shared" ref="E10:K10" si="1">E9*$C$10</f>
        <v>0</v>
      </c>
      <c r="F10" s="191">
        <f t="shared" si="1"/>
        <v>0</v>
      </c>
      <c r="G10" s="191">
        <f t="shared" si="1"/>
        <v>0</v>
      </c>
      <c r="H10" s="191">
        <f t="shared" si="1"/>
        <v>0</v>
      </c>
      <c r="I10" s="191">
        <f t="shared" si="1"/>
        <v>0</v>
      </c>
      <c r="J10" s="191">
        <f t="shared" si="1"/>
        <v>0</v>
      </c>
      <c r="K10" s="191">
        <f t="shared" si="1"/>
        <v>0</v>
      </c>
      <c r="L10" s="191">
        <f>L9*$C$10</f>
        <v>0</v>
      </c>
      <c r="M10" s="191">
        <f>M9*$C$10</f>
        <v>0</v>
      </c>
      <c r="N10" s="136"/>
      <c r="O10" s="136"/>
      <c r="P10" s="25"/>
    </row>
    <row r="11" spans="1:21" x14ac:dyDescent="0.2">
      <c r="A11" s="25"/>
      <c r="B11" s="194" t="s">
        <v>257</v>
      </c>
      <c r="C11" s="192">
        <f>Calculations!E29</f>
        <v>0</v>
      </c>
      <c r="D11" s="192">
        <f>D9-D10</f>
        <v>0</v>
      </c>
      <c r="E11" s="192">
        <f>E9-E10</f>
        <v>0</v>
      </c>
      <c r="F11" s="192">
        <f t="shared" ref="F11:M11" si="2">F9-F10</f>
        <v>0</v>
      </c>
      <c r="G11" s="192">
        <f t="shared" si="2"/>
        <v>0</v>
      </c>
      <c r="H11" s="192">
        <f t="shared" si="2"/>
        <v>0</v>
      </c>
      <c r="I11" s="192">
        <f t="shared" si="2"/>
        <v>0</v>
      </c>
      <c r="J11" s="192">
        <f t="shared" si="2"/>
        <v>0</v>
      </c>
      <c r="K11" s="192">
        <f t="shared" si="2"/>
        <v>0</v>
      </c>
      <c r="L11" s="192">
        <f t="shared" si="2"/>
        <v>0</v>
      </c>
      <c r="M11" s="192">
        <f t="shared" si="2"/>
        <v>0</v>
      </c>
      <c r="N11" s="136"/>
      <c r="O11" s="192">
        <f>C11*(1+0.1/2)^10</f>
        <v>0</v>
      </c>
      <c r="P11" s="25"/>
    </row>
    <row r="12" spans="1:21" x14ac:dyDescent="0.2">
      <c r="A12" s="2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25"/>
    </row>
    <row r="13" spans="1:21" x14ac:dyDescent="0.2">
      <c r="A13" s="25"/>
      <c r="B13" s="193" t="s">
        <v>56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25"/>
    </row>
    <row r="14" spans="1:21" x14ac:dyDescent="0.2">
      <c r="A14" s="25"/>
      <c r="B14" s="189" t="s">
        <v>256</v>
      </c>
      <c r="C14" s="190"/>
      <c r="D14" s="191">
        <f t="shared" ref="D14:M14" si="3">C16</f>
        <v>0</v>
      </c>
      <c r="E14" s="191">
        <f t="shared" si="3"/>
        <v>0</v>
      </c>
      <c r="F14" s="191">
        <f t="shared" si="3"/>
        <v>0</v>
      </c>
      <c r="G14" s="191">
        <f t="shared" si="3"/>
        <v>0</v>
      </c>
      <c r="H14" s="191">
        <f t="shared" si="3"/>
        <v>0</v>
      </c>
      <c r="I14" s="191">
        <f t="shared" si="3"/>
        <v>0</v>
      </c>
      <c r="J14" s="191">
        <f t="shared" si="3"/>
        <v>0</v>
      </c>
      <c r="K14" s="191">
        <f t="shared" si="3"/>
        <v>0</v>
      </c>
      <c r="L14" s="191">
        <f t="shared" si="3"/>
        <v>0</v>
      </c>
      <c r="M14" s="191">
        <f t="shared" si="3"/>
        <v>0</v>
      </c>
      <c r="N14" s="136"/>
      <c r="O14" s="136"/>
      <c r="P14" s="25"/>
    </row>
    <row r="15" spans="1:21" x14ac:dyDescent="0.2">
      <c r="A15" s="25"/>
      <c r="B15" s="189" t="s">
        <v>160</v>
      </c>
      <c r="C15" s="286">
        <v>0.1</v>
      </c>
      <c r="D15" s="191">
        <f>D14*$C$15</f>
        <v>0</v>
      </c>
      <c r="E15" s="191">
        <f t="shared" ref="E15:M15" si="4">E14*$C$15</f>
        <v>0</v>
      </c>
      <c r="F15" s="191">
        <f t="shared" si="4"/>
        <v>0</v>
      </c>
      <c r="G15" s="191">
        <f t="shared" si="4"/>
        <v>0</v>
      </c>
      <c r="H15" s="191">
        <f t="shared" si="4"/>
        <v>0</v>
      </c>
      <c r="I15" s="191">
        <f t="shared" si="4"/>
        <v>0</v>
      </c>
      <c r="J15" s="191">
        <f t="shared" si="4"/>
        <v>0</v>
      </c>
      <c r="K15" s="191">
        <f t="shared" si="4"/>
        <v>0</v>
      </c>
      <c r="L15" s="191">
        <f t="shared" si="4"/>
        <v>0</v>
      </c>
      <c r="M15" s="191">
        <f t="shared" si="4"/>
        <v>0</v>
      </c>
      <c r="N15" s="136"/>
      <c r="O15" s="136"/>
      <c r="P15" s="87"/>
      <c r="T15" s="313"/>
      <c r="U15" s="312"/>
    </row>
    <row r="16" spans="1:21" x14ac:dyDescent="0.2">
      <c r="A16" s="25"/>
      <c r="B16" s="194" t="s">
        <v>257</v>
      </c>
      <c r="C16" s="192">
        <f>Calculations!E30</f>
        <v>0</v>
      </c>
      <c r="D16" s="192">
        <f>IF((D14-D15)&lt;0, 0, (D14-D15))</f>
        <v>0</v>
      </c>
      <c r="E16" s="192">
        <f t="shared" ref="E16:M16" si="5">IF((E14-E15)&lt;0, 0, (E14-E15))</f>
        <v>0</v>
      </c>
      <c r="F16" s="192">
        <f t="shared" si="5"/>
        <v>0</v>
      </c>
      <c r="G16" s="192">
        <f t="shared" si="5"/>
        <v>0</v>
      </c>
      <c r="H16" s="192">
        <f t="shared" si="5"/>
        <v>0</v>
      </c>
      <c r="I16" s="192">
        <f t="shared" si="5"/>
        <v>0</v>
      </c>
      <c r="J16" s="192">
        <f t="shared" si="5"/>
        <v>0</v>
      </c>
      <c r="K16" s="192">
        <f t="shared" si="5"/>
        <v>0</v>
      </c>
      <c r="L16" s="192">
        <f t="shared" si="5"/>
        <v>0</v>
      </c>
      <c r="M16" s="192">
        <f t="shared" si="5"/>
        <v>0</v>
      </c>
      <c r="N16" s="136"/>
      <c r="O16" s="195">
        <f>C16*0.1</f>
        <v>0</v>
      </c>
      <c r="P16" s="25"/>
      <c r="T16" s="313"/>
    </row>
    <row r="17" spans="1:20" x14ac:dyDescent="0.2">
      <c r="A17" s="25"/>
      <c r="B17" s="19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25"/>
      <c r="T17" s="313"/>
    </row>
    <row r="18" spans="1:20" x14ac:dyDescent="0.2">
      <c r="A18" s="25"/>
      <c r="B18" s="193" t="s">
        <v>14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25"/>
      <c r="T18" s="313"/>
    </row>
    <row r="19" spans="1:20" x14ac:dyDescent="0.2">
      <c r="A19" s="87"/>
      <c r="B19" s="189" t="s">
        <v>256</v>
      </c>
      <c r="C19" s="190"/>
      <c r="D19" s="191">
        <f t="shared" ref="D19:M19" si="6">C21</f>
        <v>900000</v>
      </c>
      <c r="E19" s="191">
        <f>D21</f>
        <v>765000</v>
      </c>
      <c r="F19" s="191">
        <f t="shared" si="6"/>
        <v>650250</v>
      </c>
      <c r="G19" s="191">
        <f t="shared" si="6"/>
        <v>552712.5</v>
      </c>
      <c r="H19" s="191">
        <f t="shared" si="6"/>
        <v>469805.625</v>
      </c>
      <c r="I19" s="191">
        <f t="shared" si="6"/>
        <v>399334.78125</v>
      </c>
      <c r="J19" s="191">
        <f t="shared" si="6"/>
        <v>339434.56406250002</v>
      </c>
      <c r="K19" s="191">
        <f t="shared" si="6"/>
        <v>288519.379453125</v>
      </c>
      <c r="L19" s="191">
        <f t="shared" si="6"/>
        <v>245241.47253515624</v>
      </c>
      <c r="M19" s="191">
        <f t="shared" si="6"/>
        <v>208455.2516548828</v>
      </c>
      <c r="N19" s="136"/>
      <c r="O19" s="136"/>
      <c r="P19" s="25"/>
      <c r="T19" s="313"/>
    </row>
    <row r="20" spans="1:20" x14ac:dyDescent="0.2">
      <c r="A20" s="25"/>
      <c r="B20" s="189" t="s">
        <v>160</v>
      </c>
      <c r="C20" s="286">
        <v>0.15</v>
      </c>
      <c r="D20" s="191">
        <f>D19*$C$20</f>
        <v>135000</v>
      </c>
      <c r="E20" s="191">
        <f>E19*$C$20</f>
        <v>114750</v>
      </c>
      <c r="F20" s="191">
        <f t="shared" ref="F20:M20" si="7">F19*$C$20</f>
        <v>97537.5</v>
      </c>
      <c r="G20" s="191">
        <f t="shared" si="7"/>
        <v>82906.875</v>
      </c>
      <c r="H20" s="191">
        <f t="shared" si="7"/>
        <v>70470.84375</v>
      </c>
      <c r="I20" s="191">
        <f t="shared" si="7"/>
        <v>59900.217187499999</v>
      </c>
      <c r="J20" s="191">
        <f t="shared" si="7"/>
        <v>50915.184609374999</v>
      </c>
      <c r="K20" s="191">
        <f t="shared" si="7"/>
        <v>43277.90691796875</v>
      </c>
      <c r="L20" s="191">
        <f t="shared" si="7"/>
        <v>36786.220880273431</v>
      </c>
      <c r="M20" s="191">
        <f t="shared" si="7"/>
        <v>31268.287748232418</v>
      </c>
      <c r="N20" s="136"/>
      <c r="O20" s="136"/>
      <c r="P20" s="25"/>
      <c r="T20" s="313"/>
    </row>
    <row r="21" spans="1:20" x14ac:dyDescent="0.2">
      <c r="A21" s="25"/>
      <c r="B21" s="194" t="s">
        <v>257</v>
      </c>
      <c r="C21" s="192">
        <f>Calculations!E31</f>
        <v>900000</v>
      </c>
      <c r="D21" s="192">
        <f>IF((D19-D20)&lt;0, 0, (D19-D20))</f>
        <v>765000</v>
      </c>
      <c r="E21" s="192">
        <f t="shared" ref="E21:M21" si="8">IF((E19-E20)&lt;0, 0, (E19-E20))</f>
        <v>650250</v>
      </c>
      <c r="F21" s="192">
        <f t="shared" si="8"/>
        <v>552712.5</v>
      </c>
      <c r="G21" s="192">
        <f t="shared" si="8"/>
        <v>469805.625</v>
      </c>
      <c r="H21" s="192">
        <f t="shared" si="8"/>
        <v>399334.78125</v>
      </c>
      <c r="I21" s="192">
        <f t="shared" si="8"/>
        <v>339434.56406250002</v>
      </c>
      <c r="J21" s="192">
        <f t="shared" si="8"/>
        <v>288519.379453125</v>
      </c>
      <c r="K21" s="192">
        <f t="shared" si="8"/>
        <v>245241.47253515624</v>
      </c>
      <c r="L21" s="192">
        <f t="shared" si="8"/>
        <v>208455.2516548828</v>
      </c>
      <c r="M21" s="192">
        <f t="shared" si="8"/>
        <v>177186.96390665037</v>
      </c>
      <c r="N21" s="136"/>
      <c r="O21" s="195">
        <f>C21*0.1</f>
        <v>90000</v>
      </c>
      <c r="P21" s="25"/>
      <c r="T21" s="313"/>
    </row>
    <row r="22" spans="1:20" x14ac:dyDescent="0.2">
      <c r="A22" s="25"/>
      <c r="B22" s="19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25"/>
      <c r="T22" s="313"/>
    </row>
    <row r="23" spans="1:20" x14ac:dyDescent="0.2">
      <c r="A23" s="25"/>
      <c r="B23" s="193" t="s">
        <v>16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87"/>
      <c r="T23" s="313"/>
    </row>
    <row r="24" spans="1:20" x14ac:dyDescent="0.2">
      <c r="A24" s="25"/>
      <c r="B24" s="189" t="s">
        <v>256</v>
      </c>
      <c r="C24" s="190"/>
      <c r="D24" s="191">
        <f t="shared" ref="D24:M24" si="9">C26</f>
        <v>200000</v>
      </c>
      <c r="E24" s="191">
        <f t="shared" si="9"/>
        <v>170000</v>
      </c>
      <c r="F24" s="191">
        <f t="shared" si="9"/>
        <v>144500</v>
      </c>
      <c r="G24" s="191">
        <f t="shared" si="9"/>
        <v>122825</v>
      </c>
      <c r="H24" s="191">
        <f t="shared" si="9"/>
        <v>104401.25</v>
      </c>
      <c r="I24" s="191">
        <f t="shared" si="9"/>
        <v>88741.0625</v>
      </c>
      <c r="J24" s="191">
        <f t="shared" si="9"/>
        <v>75429.903124999997</v>
      </c>
      <c r="K24" s="191">
        <f t="shared" si="9"/>
        <v>64115.41765625</v>
      </c>
      <c r="L24" s="191">
        <f t="shared" si="9"/>
        <v>54498.105007812497</v>
      </c>
      <c r="M24" s="191">
        <f t="shared" si="9"/>
        <v>46323.389256640621</v>
      </c>
      <c r="N24" s="136"/>
      <c r="O24" s="136"/>
      <c r="P24" s="25"/>
      <c r="T24" s="313"/>
    </row>
    <row r="25" spans="1:20" x14ac:dyDescent="0.2">
      <c r="A25" s="25"/>
      <c r="B25" s="189" t="s">
        <v>160</v>
      </c>
      <c r="C25" s="286">
        <v>0.15</v>
      </c>
      <c r="D25" s="191">
        <f>D24*$C$25</f>
        <v>30000</v>
      </c>
      <c r="E25" s="191">
        <f t="shared" ref="E25:M25" si="10">E24*$C$25</f>
        <v>25500</v>
      </c>
      <c r="F25" s="191">
        <f t="shared" si="10"/>
        <v>21675</v>
      </c>
      <c r="G25" s="191">
        <f t="shared" si="10"/>
        <v>18423.75</v>
      </c>
      <c r="H25" s="191">
        <f t="shared" si="10"/>
        <v>15660.1875</v>
      </c>
      <c r="I25" s="191">
        <f t="shared" si="10"/>
        <v>13311.159374999999</v>
      </c>
      <c r="J25" s="191">
        <f t="shared" si="10"/>
        <v>11314.485468749999</v>
      </c>
      <c r="K25" s="191">
        <f t="shared" si="10"/>
        <v>9617.3126484374989</v>
      </c>
      <c r="L25" s="191">
        <f t="shared" si="10"/>
        <v>8174.7157511718742</v>
      </c>
      <c r="M25" s="191">
        <f t="shared" si="10"/>
        <v>6948.5083884960932</v>
      </c>
      <c r="N25" s="136"/>
      <c r="O25" s="136"/>
      <c r="P25" s="25"/>
      <c r="T25" s="313"/>
    </row>
    <row r="26" spans="1:20" x14ac:dyDescent="0.2">
      <c r="A26" s="25"/>
      <c r="B26" s="194" t="s">
        <v>257</v>
      </c>
      <c r="C26" s="192">
        <f>Calculations!E32</f>
        <v>200000</v>
      </c>
      <c r="D26" s="192">
        <f>IF((D24-D25)&lt;0, 0, (D24-D25))</f>
        <v>170000</v>
      </c>
      <c r="E26" s="192">
        <f t="shared" ref="E26:M26" si="11">IF((E24-E25)&lt;0, 0, (E24-E25))</f>
        <v>144500</v>
      </c>
      <c r="F26" s="192">
        <f t="shared" si="11"/>
        <v>122825</v>
      </c>
      <c r="G26" s="192">
        <f t="shared" si="11"/>
        <v>104401.25</v>
      </c>
      <c r="H26" s="192">
        <f t="shared" si="11"/>
        <v>88741.0625</v>
      </c>
      <c r="I26" s="192">
        <f t="shared" si="11"/>
        <v>75429.903124999997</v>
      </c>
      <c r="J26" s="192">
        <f t="shared" si="11"/>
        <v>64115.41765625</v>
      </c>
      <c r="K26" s="192">
        <f t="shared" si="11"/>
        <v>54498.105007812497</v>
      </c>
      <c r="L26" s="192">
        <f t="shared" si="11"/>
        <v>46323.389256640621</v>
      </c>
      <c r="M26" s="192">
        <f t="shared" si="11"/>
        <v>39374.88086814453</v>
      </c>
      <c r="N26" s="136"/>
      <c r="O26" s="195">
        <f>C26*0.05</f>
        <v>10000</v>
      </c>
      <c r="P26" s="25"/>
      <c r="T26" s="313"/>
    </row>
    <row r="27" spans="1:20" x14ac:dyDescent="0.2">
      <c r="A27" s="25"/>
      <c r="B27" s="19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25"/>
      <c r="T27" s="313"/>
    </row>
    <row r="28" spans="1:20" x14ac:dyDescent="0.2">
      <c r="A28" s="25"/>
      <c r="B28" s="193" t="s">
        <v>17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25"/>
      <c r="T28" s="313"/>
    </row>
    <row r="29" spans="1:20" x14ac:dyDescent="0.2">
      <c r="A29" s="25"/>
      <c r="B29" s="189" t="s">
        <v>256</v>
      </c>
      <c r="C29" s="190"/>
      <c r="D29" s="191">
        <f t="shared" ref="D29:M29" si="12">C31</f>
        <v>1500000</v>
      </c>
      <c r="E29" s="191">
        <f t="shared" si="12"/>
        <v>1275000</v>
      </c>
      <c r="F29" s="191">
        <f t="shared" si="12"/>
        <v>1083750</v>
      </c>
      <c r="G29" s="191">
        <f t="shared" si="12"/>
        <v>921187.5</v>
      </c>
      <c r="H29" s="191">
        <f t="shared" si="12"/>
        <v>783009.375</v>
      </c>
      <c r="I29" s="191">
        <f t="shared" si="12"/>
        <v>665557.96875</v>
      </c>
      <c r="J29" s="191">
        <f t="shared" si="12"/>
        <v>565724.2734375</v>
      </c>
      <c r="K29" s="191">
        <f t="shared" si="12"/>
        <v>480865.63242187502</v>
      </c>
      <c r="L29" s="191">
        <f t="shared" si="12"/>
        <v>408735.78755859379</v>
      </c>
      <c r="M29" s="191">
        <f t="shared" si="12"/>
        <v>347425.41942480474</v>
      </c>
      <c r="N29" s="136"/>
      <c r="O29" s="136"/>
      <c r="P29" s="25"/>
    </row>
    <row r="30" spans="1:20" x14ac:dyDescent="0.2">
      <c r="A30" s="25"/>
      <c r="B30" s="189" t="s">
        <v>160</v>
      </c>
      <c r="C30" s="286">
        <v>0.15</v>
      </c>
      <c r="D30" s="191">
        <f>D29*$C$30</f>
        <v>225000</v>
      </c>
      <c r="E30" s="191">
        <f t="shared" ref="E30:M30" si="13">E29*$C$30</f>
        <v>191250</v>
      </c>
      <c r="F30" s="191">
        <f t="shared" si="13"/>
        <v>162562.5</v>
      </c>
      <c r="G30" s="191">
        <f t="shared" si="13"/>
        <v>138178.125</v>
      </c>
      <c r="H30" s="191">
        <f t="shared" si="13"/>
        <v>117451.40625</v>
      </c>
      <c r="I30" s="191">
        <f t="shared" si="13"/>
        <v>99833.6953125</v>
      </c>
      <c r="J30" s="191">
        <f t="shared" si="13"/>
        <v>84858.641015624991</v>
      </c>
      <c r="K30" s="191">
        <f t="shared" si="13"/>
        <v>72129.844863281251</v>
      </c>
      <c r="L30" s="191">
        <f t="shared" si="13"/>
        <v>61310.368133789067</v>
      </c>
      <c r="M30" s="191">
        <f t="shared" si="13"/>
        <v>52113.812913720707</v>
      </c>
      <c r="N30" s="136"/>
      <c r="O30" s="136"/>
      <c r="P30" s="25"/>
      <c r="T30" s="313"/>
    </row>
    <row r="31" spans="1:20" x14ac:dyDescent="0.2">
      <c r="A31" s="87"/>
      <c r="B31" s="194" t="s">
        <v>257</v>
      </c>
      <c r="C31" s="192">
        <f>Calculations!E33</f>
        <v>1500000</v>
      </c>
      <c r="D31" s="192">
        <f>IF((D29-D30)&lt;0, 0, (D29-D30))</f>
        <v>1275000</v>
      </c>
      <c r="E31" s="192">
        <f t="shared" ref="E31:M31" si="14">IF((E29-E30)&lt;0, 0, (E29-E30))</f>
        <v>1083750</v>
      </c>
      <c r="F31" s="192">
        <f t="shared" si="14"/>
        <v>921187.5</v>
      </c>
      <c r="G31" s="192">
        <f t="shared" si="14"/>
        <v>783009.375</v>
      </c>
      <c r="H31" s="192">
        <f t="shared" si="14"/>
        <v>665557.96875</v>
      </c>
      <c r="I31" s="192">
        <f t="shared" si="14"/>
        <v>565724.2734375</v>
      </c>
      <c r="J31" s="192">
        <f t="shared" si="14"/>
        <v>480865.63242187502</v>
      </c>
      <c r="K31" s="192">
        <f t="shared" si="14"/>
        <v>408735.78755859379</v>
      </c>
      <c r="L31" s="192">
        <f t="shared" si="14"/>
        <v>347425.41942480474</v>
      </c>
      <c r="M31" s="192">
        <f t="shared" si="14"/>
        <v>295311.60651108401</v>
      </c>
      <c r="N31" s="136"/>
      <c r="O31" s="195">
        <f>C31*0.3</f>
        <v>450000</v>
      </c>
      <c r="P31" s="87"/>
      <c r="T31" s="313"/>
    </row>
    <row r="32" spans="1:20" x14ac:dyDescent="0.2">
      <c r="A32" s="25"/>
      <c r="B32" s="19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25"/>
    </row>
    <row r="33" spans="1:16" x14ac:dyDescent="0.2">
      <c r="A33" s="25"/>
      <c r="B33" s="193" t="s">
        <v>15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25"/>
    </row>
    <row r="34" spans="1:16" x14ac:dyDescent="0.2">
      <c r="A34" s="25"/>
      <c r="B34" s="189" t="s">
        <v>256</v>
      </c>
      <c r="C34" s="190"/>
      <c r="D34" s="191">
        <f t="shared" ref="D34:M34" si="15">C36</f>
        <v>150000</v>
      </c>
      <c r="E34" s="191">
        <f t="shared" si="15"/>
        <v>105000</v>
      </c>
      <c r="F34" s="191">
        <f t="shared" si="15"/>
        <v>73500</v>
      </c>
      <c r="G34" s="191">
        <f t="shared" si="15"/>
        <v>51450</v>
      </c>
      <c r="H34" s="191">
        <f t="shared" si="15"/>
        <v>36015</v>
      </c>
      <c r="I34" s="191">
        <f t="shared" si="15"/>
        <v>25210.5</v>
      </c>
      <c r="J34" s="191">
        <f t="shared" si="15"/>
        <v>17647.349999999999</v>
      </c>
      <c r="K34" s="191">
        <f t="shared" si="15"/>
        <v>12353.145</v>
      </c>
      <c r="L34" s="191">
        <f t="shared" si="15"/>
        <v>8647.201500000001</v>
      </c>
      <c r="M34" s="191">
        <f t="shared" si="15"/>
        <v>6053.0410500000007</v>
      </c>
      <c r="N34" s="136"/>
      <c r="O34" s="136"/>
      <c r="P34" s="25"/>
    </row>
    <row r="35" spans="1:16" x14ac:dyDescent="0.2">
      <c r="A35" s="25"/>
      <c r="B35" s="189" t="s">
        <v>160</v>
      </c>
      <c r="C35" s="286">
        <v>0.3</v>
      </c>
      <c r="D35" s="191">
        <f>D34*$C$35</f>
        <v>45000</v>
      </c>
      <c r="E35" s="191">
        <f t="shared" ref="E35:M35" si="16">E34*$C$35</f>
        <v>31500</v>
      </c>
      <c r="F35" s="191">
        <f t="shared" si="16"/>
        <v>22050</v>
      </c>
      <c r="G35" s="191">
        <f t="shared" si="16"/>
        <v>15435</v>
      </c>
      <c r="H35" s="191">
        <f t="shared" si="16"/>
        <v>10804.5</v>
      </c>
      <c r="I35" s="191">
        <f t="shared" si="16"/>
        <v>7563.15</v>
      </c>
      <c r="J35" s="191">
        <f t="shared" si="16"/>
        <v>5294.204999999999</v>
      </c>
      <c r="K35" s="191">
        <f t="shared" si="16"/>
        <v>3705.9434999999999</v>
      </c>
      <c r="L35" s="191">
        <f t="shared" si="16"/>
        <v>2594.1604500000003</v>
      </c>
      <c r="M35" s="191">
        <f t="shared" si="16"/>
        <v>1815.9123150000003</v>
      </c>
      <c r="N35" s="136"/>
      <c r="O35" s="136"/>
      <c r="P35" s="25"/>
    </row>
    <row r="36" spans="1:16" x14ac:dyDescent="0.2">
      <c r="A36" s="25"/>
      <c r="B36" s="194" t="s">
        <v>257</v>
      </c>
      <c r="C36" s="192">
        <f>Calculations!E34</f>
        <v>150000</v>
      </c>
      <c r="D36" s="192">
        <f>IF((D34-D35)&lt;0, 0, (D34-D35))</f>
        <v>105000</v>
      </c>
      <c r="E36" s="192">
        <f t="shared" ref="E36:M36" si="17">IF((E34-E35)&lt;0, 0, (E34-E35))</f>
        <v>73500</v>
      </c>
      <c r="F36" s="192">
        <f t="shared" si="17"/>
        <v>51450</v>
      </c>
      <c r="G36" s="192">
        <f t="shared" si="17"/>
        <v>36015</v>
      </c>
      <c r="H36" s="192">
        <f t="shared" si="17"/>
        <v>25210.5</v>
      </c>
      <c r="I36" s="192">
        <f t="shared" si="17"/>
        <v>17647.349999999999</v>
      </c>
      <c r="J36" s="192">
        <f t="shared" si="17"/>
        <v>12353.145</v>
      </c>
      <c r="K36" s="192">
        <f t="shared" si="17"/>
        <v>8647.201500000001</v>
      </c>
      <c r="L36" s="192">
        <f t="shared" si="17"/>
        <v>6053.0410500000007</v>
      </c>
      <c r="M36" s="192">
        <f t="shared" si="17"/>
        <v>4237.1287350000002</v>
      </c>
      <c r="N36" s="136"/>
      <c r="O36" s="195">
        <f>C36*0.05</f>
        <v>7500</v>
      </c>
      <c r="P36" s="25"/>
    </row>
    <row r="37" spans="1:16" x14ac:dyDescent="0.2">
      <c r="A37" s="2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25"/>
    </row>
    <row r="38" spans="1:16" s="171" customFormat="1" x14ac:dyDescent="0.2">
      <c r="A38" s="25"/>
      <c r="B38" s="197" t="s">
        <v>173</v>
      </c>
      <c r="C38" s="198"/>
      <c r="D38" s="199">
        <f>D10+D15+D20+D25+D30+D35</f>
        <v>435000</v>
      </c>
      <c r="E38" s="199">
        <f t="shared" ref="E38:M38" si="18">E10+E15+E20+E25+E30+E35</f>
        <v>363000</v>
      </c>
      <c r="F38" s="199">
        <f t="shared" si="18"/>
        <v>303825</v>
      </c>
      <c r="G38" s="199">
        <f t="shared" si="18"/>
        <v>254943.75</v>
      </c>
      <c r="H38" s="199">
        <f t="shared" si="18"/>
        <v>214386.9375</v>
      </c>
      <c r="I38" s="199">
        <f t="shared" si="18"/>
        <v>180608.22187499999</v>
      </c>
      <c r="J38" s="199">
        <f t="shared" si="18"/>
        <v>152382.51609374999</v>
      </c>
      <c r="K38" s="199">
        <f t="shared" si="18"/>
        <v>128731.00792968749</v>
      </c>
      <c r="L38" s="199">
        <f t="shared" si="18"/>
        <v>108865.46521523438</v>
      </c>
      <c r="M38" s="199">
        <f t="shared" si="18"/>
        <v>92146.521365449211</v>
      </c>
      <c r="N38" s="184"/>
      <c r="O38" s="199">
        <f>O11+O16+O21+O26+O31+O36</f>
        <v>557500</v>
      </c>
      <c r="P38" s="25"/>
    </row>
    <row r="39" spans="1:16" x14ac:dyDescent="0.2">
      <c r="A39" s="2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87"/>
    </row>
    <row r="40" spans="1:16" x14ac:dyDescent="0.2">
      <c r="A40" s="25"/>
      <c r="B40" s="184" t="s">
        <v>258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25"/>
    </row>
    <row r="41" spans="1:16" x14ac:dyDescent="0.2">
      <c r="A41" s="25"/>
      <c r="B41" s="193" t="s">
        <v>57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25"/>
    </row>
    <row r="42" spans="1:16" x14ac:dyDescent="0.2">
      <c r="A42" s="87"/>
      <c r="B42" s="189" t="s">
        <v>256</v>
      </c>
      <c r="C42" s="190"/>
      <c r="D42" s="191">
        <f t="shared" ref="D42:M42" si="19">C44</f>
        <v>250000</v>
      </c>
      <c r="E42" s="191">
        <f t="shared" si="19"/>
        <v>200000</v>
      </c>
      <c r="F42" s="191">
        <f t="shared" si="19"/>
        <v>150000</v>
      </c>
      <c r="G42" s="191">
        <f t="shared" si="19"/>
        <v>100000</v>
      </c>
      <c r="H42" s="191">
        <f t="shared" si="19"/>
        <v>50000</v>
      </c>
      <c r="I42" s="191">
        <f t="shared" si="19"/>
        <v>0</v>
      </c>
      <c r="J42" s="191">
        <f t="shared" si="19"/>
        <v>0</v>
      </c>
      <c r="K42" s="191">
        <f t="shared" si="19"/>
        <v>0</v>
      </c>
      <c r="L42" s="191">
        <f t="shared" si="19"/>
        <v>0</v>
      </c>
      <c r="M42" s="191">
        <f t="shared" si="19"/>
        <v>0</v>
      </c>
      <c r="N42" s="136"/>
      <c r="O42" s="134"/>
      <c r="P42" s="25"/>
    </row>
    <row r="43" spans="1:16" x14ac:dyDescent="0.2">
      <c r="A43" s="25"/>
      <c r="B43" s="189" t="s">
        <v>310</v>
      </c>
      <c r="C43" s="286">
        <v>0.2</v>
      </c>
      <c r="D43" s="191">
        <f>$D$42*$C$43</f>
        <v>50000</v>
      </c>
      <c r="E43" s="191">
        <f>$D$42*$C$43</f>
        <v>50000</v>
      </c>
      <c r="F43" s="191">
        <f>$D$42*$C$43</f>
        <v>50000</v>
      </c>
      <c r="G43" s="191">
        <f>$D$42*$C$43</f>
        <v>50000</v>
      </c>
      <c r="H43" s="191">
        <f>$D$42*$C$43</f>
        <v>50000</v>
      </c>
      <c r="I43" s="191"/>
      <c r="J43" s="191"/>
      <c r="K43" s="191"/>
      <c r="L43" s="191"/>
      <c r="M43" s="191"/>
      <c r="N43" s="136"/>
      <c r="O43" s="134"/>
      <c r="P43" s="25"/>
    </row>
    <row r="44" spans="1:16" x14ac:dyDescent="0.2">
      <c r="A44" s="25"/>
      <c r="B44" s="194" t="s">
        <v>257</v>
      </c>
      <c r="C44" s="192">
        <f>Calculations!E35</f>
        <v>250000</v>
      </c>
      <c r="D44" s="192">
        <f>IF((D42-D43)&lt;0,0,(D42-D43))</f>
        <v>200000</v>
      </c>
      <c r="E44" s="192">
        <f t="shared" ref="E44:M44" si="20">IF((E42-E43)&lt;0,0,(E42-E43))</f>
        <v>150000</v>
      </c>
      <c r="F44" s="192">
        <f t="shared" si="20"/>
        <v>100000</v>
      </c>
      <c r="G44" s="192">
        <f t="shared" si="20"/>
        <v>50000</v>
      </c>
      <c r="H44" s="192">
        <f t="shared" si="20"/>
        <v>0</v>
      </c>
      <c r="I44" s="192">
        <f t="shared" si="20"/>
        <v>0</v>
      </c>
      <c r="J44" s="192">
        <f t="shared" si="20"/>
        <v>0</v>
      </c>
      <c r="K44" s="192">
        <f t="shared" si="20"/>
        <v>0</v>
      </c>
      <c r="L44" s="192">
        <f t="shared" si="20"/>
        <v>0</v>
      </c>
      <c r="M44" s="192">
        <f t="shared" si="20"/>
        <v>0</v>
      </c>
      <c r="N44" s="136"/>
      <c r="O44" s="134"/>
      <c r="P44" s="25"/>
    </row>
    <row r="45" spans="1:16" x14ac:dyDescent="0.2">
      <c r="A45" s="25"/>
      <c r="B45" s="200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4"/>
      <c r="P45" s="25"/>
    </row>
    <row r="46" spans="1:16" x14ac:dyDescent="0.2">
      <c r="A46" s="25"/>
      <c r="B46" s="193" t="s">
        <v>58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4"/>
      <c r="P46" s="87"/>
    </row>
    <row r="47" spans="1:16" x14ac:dyDescent="0.2">
      <c r="A47" s="25"/>
      <c r="B47" s="189" t="s">
        <v>256</v>
      </c>
      <c r="C47" s="190"/>
      <c r="D47" s="191">
        <f t="shared" ref="D47:M47" si="21">C49</f>
        <v>26000</v>
      </c>
      <c r="E47" s="191">
        <f t="shared" si="21"/>
        <v>20800</v>
      </c>
      <c r="F47" s="191">
        <f t="shared" si="21"/>
        <v>15600</v>
      </c>
      <c r="G47" s="191">
        <f t="shared" si="21"/>
        <v>10400</v>
      </c>
      <c r="H47" s="191">
        <f t="shared" si="21"/>
        <v>5200</v>
      </c>
      <c r="I47" s="191">
        <f t="shared" si="21"/>
        <v>0</v>
      </c>
      <c r="J47" s="191">
        <f t="shared" si="21"/>
        <v>0</v>
      </c>
      <c r="K47" s="191">
        <f t="shared" si="21"/>
        <v>0</v>
      </c>
      <c r="L47" s="191">
        <f t="shared" si="21"/>
        <v>0</v>
      </c>
      <c r="M47" s="191">
        <f t="shared" si="21"/>
        <v>0</v>
      </c>
      <c r="N47" s="136"/>
      <c r="O47" s="134"/>
      <c r="P47" s="25"/>
    </row>
    <row r="48" spans="1:16" x14ac:dyDescent="0.2">
      <c r="A48" s="25"/>
      <c r="B48" s="189" t="s">
        <v>311</v>
      </c>
      <c r="C48" s="286">
        <v>0.2</v>
      </c>
      <c r="D48" s="191">
        <f>$D$47*$C$48</f>
        <v>5200</v>
      </c>
      <c r="E48" s="191">
        <f>$D$47*$C$48</f>
        <v>5200</v>
      </c>
      <c r="F48" s="191">
        <f>$D$47*$C$48</f>
        <v>5200</v>
      </c>
      <c r="G48" s="191">
        <f>$D$47*$C$48</f>
        <v>5200</v>
      </c>
      <c r="H48" s="191">
        <f>$D$47*$C$48</f>
        <v>5200</v>
      </c>
      <c r="I48" s="191"/>
      <c r="J48" s="191"/>
      <c r="K48" s="191"/>
      <c r="L48" s="191"/>
      <c r="M48" s="191"/>
      <c r="N48" s="136"/>
      <c r="O48" s="134"/>
      <c r="P48" s="25"/>
    </row>
    <row r="49" spans="1:16" x14ac:dyDescent="0.2">
      <c r="A49" s="25"/>
      <c r="B49" s="194" t="s">
        <v>257</v>
      </c>
      <c r="C49" s="192">
        <f>Calculations!E36</f>
        <v>26000</v>
      </c>
      <c r="D49" s="192">
        <f t="shared" ref="D49:M49" si="22">IF((D47-D48)&lt;0,0,(D47-D48))</f>
        <v>20800</v>
      </c>
      <c r="E49" s="192">
        <f t="shared" si="22"/>
        <v>15600</v>
      </c>
      <c r="F49" s="192">
        <f t="shared" si="22"/>
        <v>10400</v>
      </c>
      <c r="G49" s="192">
        <f t="shared" si="22"/>
        <v>5200</v>
      </c>
      <c r="H49" s="192">
        <f t="shared" si="22"/>
        <v>0</v>
      </c>
      <c r="I49" s="192">
        <f t="shared" si="22"/>
        <v>0</v>
      </c>
      <c r="J49" s="192">
        <f t="shared" si="22"/>
        <v>0</v>
      </c>
      <c r="K49" s="192">
        <f t="shared" si="22"/>
        <v>0</v>
      </c>
      <c r="L49" s="192">
        <f t="shared" si="22"/>
        <v>0</v>
      </c>
      <c r="M49" s="192">
        <f t="shared" si="22"/>
        <v>0</v>
      </c>
      <c r="N49" s="136"/>
      <c r="O49" s="134"/>
      <c r="P49" s="25"/>
    </row>
    <row r="50" spans="1:16" x14ac:dyDescent="0.2">
      <c r="A50" s="2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4"/>
      <c r="P50" s="25"/>
    </row>
    <row r="51" spans="1:16" x14ac:dyDescent="0.2">
      <c r="A51" s="25"/>
      <c r="B51" s="197" t="s">
        <v>172</v>
      </c>
      <c r="C51" s="201"/>
      <c r="D51" s="202">
        <f>D43+D48</f>
        <v>55200</v>
      </c>
      <c r="E51" s="202">
        <f t="shared" ref="E51:M51" si="23">E43+E48</f>
        <v>55200</v>
      </c>
      <c r="F51" s="202">
        <f t="shared" si="23"/>
        <v>55200</v>
      </c>
      <c r="G51" s="202">
        <f t="shared" si="23"/>
        <v>55200</v>
      </c>
      <c r="H51" s="202">
        <f t="shared" si="23"/>
        <v>55200</v>
      </c>
      <c r="I51" s="202">
        <f t="shared" si="23"/>
        <v>0</v>
      </c>
      <c r="J51" s="202">
        <f t="shared" si="23"/>
        <v>0</v>
      </c>
      <c r="K51" s="202">
        <f t="shared" si="23"/>
        <v>0</v>
      </c>
      <c r="L51" s="202">
        <f t="shared" si="23"/>
        <v>0</v>
      </c>
      <c r="M51" s="202">
        <f t="shared" si="23"/>
        <v>0</v>
      </c>
      <c r="N51" s="136"/>
      <c r="O51" s="134"/>
      <c r="P51" s="25"/>
    </row>
    <row r="52" spans="1:16" x14ac:dyDescent="0.2">
      <c r="A52" s="2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4"/>
      <c r="P52" s="25"/>
    </row>
    <row r="53" spans="1:16" x14ac:dyDescent="0.2">
      <c r="A53" s="25"/>
      <c r="B53" s="203" t="s">
        <v>243</v>
      </c>
      <c r="C53" s="138"/>
      <c r="D53" s="199">
        <f t="shared" ref="D53:M53" si="24">D38+D51</f>
        <v>490200</v>
      </c>
      <c r="E53" s="199">
        <f t="shared" si="24"/>
        <v>418200</v>
      </c>
      <c r="F53" s="199">
        <f t="shared" si="24"/>
        <v>359025</v>
      </c>
      <c r="G53" s="199">
        <f t="shared" si="24"/>
        <v>310143.75</v>
      </c>
      <c r="H53" s="199">
        <f t="shared" si="24"/>
        <v>269586.9375</v>
      </c>
      <c r="I53" s="199">
        <f t="shared" si="24"/>
        <v>180608.22187499999</v>
      </c>
      <c r="J53" s="199">
        <f t="shared" si="24"/>
        <v>152382.51609374999</v>
      </c>
      <c r="K53" s="199">
        <f t="shared" si="24"/>
        <v>128731.00792968749</v>
      </c>
      <c r="L53" s="199">
        <f t="shared" si="24"/>
        <v>108865.46521523438</v>
      </c>
      <c r="M53" s="199">
        <f t="shared" si="24"/>
        <v>92146.521365449211</v>
      </c>
      <c r="N53" s="136"/>
      <c r="O53" s="134"/>
      <c r="P53" s="25"/>
    </row>
    <row r="54" spans="1:16" x14ac:dyDescent="0.2">
      <c r="A54" s="87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87"/>
    </row>
    <row r="55" spans="1:16" ht="6" customHeight="1" x14ac:dyDescent="0.2">
      <c r="A55" s="25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25"/>
    </row>
  </sheetData>
  <sheetProtection algorithmName="SHA-512" hashValue="nhR99S7E/7pCw75pnQVKyBPl+09XjnrAl7nYiVa9DhewNQfOx2BZhybDxMCMIg+OIfDB49LKIdetyhWSiXyk6Q==" saltValue="/TCiN+VfhrOaIDy6ejto1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70C0"/>
  </sheetPr>
  <dimension ref="A2:N143"/>
  <sheetViews>
    <sheetView zoomScale="140" zoomScaleNormal="140" workbookViewId="0">
      <selection activeCell="C16" sqref="C16"/>
    </sheetView>
  </sheetViews>
  <sheetFormatPr defaultColWidth="9.140625" defaultRowHeight="12.75" x14ac:dyDescent="0.2"/>
  <cols>
    <col min="1" max="1" width="9.140625" style="204"/>
    <col min="2" max="2" width="25.85546875" style="204" bestFit="1" customWidth="1"/>
    <col min="3" max="3" width="16" style="204" bestFit="1" customWidth="1"/>
    <col min="4" max="5" width="14" style="204" bestFit="1" customWidth="1"/>
    <col min="6" max="7" width="14.85546875" style="204" bestFit="1" customWidth="1"/>
    <col min="8" max="8" width="11" style="204" bestFit="1" customWidth="1"/>
    <col min="9" max="9" width="14" style="204" bestFit="1" customWidth="1"/>
    <col min="10" max="11" width="11" style="204" bestFit="1" customWidth="1"/>
    <col min="12" max="12" width="8.7109375" style="204" customWidth="1"/>
    <col min="13" max="13" width="0.42578125" style="204" hidden="1" customWidth="1"/>
    <col min="14" max="14" width="2.85546875" style="204" hidden="1" customWidth="1"/>
    <col min="15" max="15" width="9.140625" style="204" customWidth="1"/>
    <col min="16" max="123" width="9.140625" style="204"/>
    <col min="124" max="124" width="10.42578125" style="204" bestFit="1" customWidth="1"/>
    <col min="125" max="16384" width="9.140625" style="204"/>
  </cols>
  <sheetData>
    <row r="2" spans="1:14" ht="27.75" customHeight="1" x14ac:dyDescent="0.2">
      <c r="B2" s="357" t="s">
        <v>208</v>
      </c>
      <c r="C2" s="358"/>
      <c r="D2" s="358"/>
      <c r="E2" s="358"/>
      <c r="F2" s="358"/>
      <c r="G2" s="358"/>
      <c r="H2" s="358"/>
      <c r="I2" s="358"/>
      <c r="J2" s="358"/>
      <c r="K2" s="359"/>
    </row>
    <row r="3" spans="1:14" ht="27.75" customHeight="1" x14ac:dyDescent="0.2">
      <c r="B3" s="360" t="s">
        <v>175</v>
      </c>
      <c r="C3" s="360"/>
      <c r="D3" s="360"/>
      <c r="E3" s="360"/>
      <c r="F3" s="360"/>
      <c r="G3" s="360"/>
      <c r="H3" s="360"/>
      <c r="I3" s="360"/>
      <c r="J3" s="360"/>
      <c r="K3" s="360"/>
    </row>
    <row r="4" spans="1:14" x14ac:dyDescent="0.2">
      <c r="B4" s="360" t="s">
        <v>176</v>
      </c>
      <c r="C4" s="360"/>
      <c r="D4" s="360"/>
      <c r="E4" s="360"/>
      <c r="F4" s="360"/>
      <c r="G4" s="360"/>
      <c r="H4" s="360"/>
      <c r="I4" s="360"/>
      <c r="J4" s="360"/>
      <c r="K4" s="360"/>
    </row>
    <row r="5" spans="1:14" x14ac:dyDescent="0.2">
      <c r="B5" s="360" t="s">
        <v>177</v>
      </c>
      <c r="C5" s="360"/>
      <c r="D5" s="360"/>
      <c r="E5" s="360"/>
      <c r="F5" s="360"/>
      <c r="G5" s="360"/>
      <c r="H5" s="360"/>
      <c r="I5" s="360"/>
      <c r="J5" s="360"/>
      <c r="K5" s="360"/>
    </row>
    <row r="6" spans="1:14" ht="13.5" thickBot="1" x14ac:dyDescent="0.25"/>
    <row r="7" spans="1:14" ht="15" thickBot="1" x14ac:dyDescent="0.25">
      <c r="B7" s="361" t="s">
        <v>178</v>
      </c>
      <c r="C7" s="362"/>
      <c r="G7" s="204" t="s">
        <v>292</v>
      </c>
    </row>
    <row r="8" spans="1:14" ht="14.25" x14ac:dyDescent="0.2">
      <c r="B8" s="205" t="s">
        <v>179</v>
      </c>
      <c r="C8" s="206">
        <f>Calculations!E46</f>
        <v>1513000</v>
      </c>
    </row>
    <row r="9" spans="1:14" ht="14.25" x14ac:dyDescent="0.2">
      <c r="B9" s="207" t="s">
        <v>180</v>
      </c>
      <c r="C9" s="208">
        <f>'Input Sheet'!D99</f>
        <v>0.06</v>
      </c>
      <c r="M9" s="209" t="s">
        <v>181</v>
      </c>
      <c r="N9" s="209">
        <v>1</v>
      </c>
    </row>
    <row r="10" spans="1:14" ht="14.25" x14ac:dyDescent="0.2">
      <c r="B10" s="207" t="s">
        <v>182</v>
      </c>
      <c r="C10" s="210">
        <f>IF('Input Sheet'!$E$100&lt;1, 1, 'Input Sheet'!$E$100)</f>
        <v>3</v>
      </c>
      <c r="M10" s="209" t="s">
        <v>183</v>
      </c>
      <c r="N10" s="209"/>
    </row>
    <row r="11" spans="1:14" ht="14.25" x14ac:dyDescent="0.2">
      <c r="B11" s="207" t="s">
        <v>184</v>
      </c>
      <c r="C11" s="210" t="s">
        <v>190</v>
      </c>
      <c r="M11" s="209" t="s">
        <v>185</v>
      </c>
      <c r="N11" s="209">
        <v>12</v>
      </c>
    </row>
    <row r="12" spans="1:14" ht="32.25" customHeight="1" thickBot="1" x14ac:dyDescent="0.25">
      <c r="B12" s="211" t="s">
        <v>186</v>
      </c>
      <c r="C12" s="212"/>
      <c r="M12" s="209" t="s">
        <v>187</v>
      </c>
      <c r="N12" s="209">
        <v>4</v>
      </c>
    </row>
    <row r="13" spans="1:14" ht="15.75" customHeight="1" thickBot="1" x14ac:dyDescent="0.25">
      <c r="B13" s="213"/>
      <c r="C13" s="214"/>
      <c r="M13" s="209" t="s">
        <v>188</v>
      </c>
      <c r="N13" s="209">
        <v>2</v>
      </c>
    </row>
    <row r="14" spans="1:14" ht="15" thickBot="1" x14ac:dyDescent="0.25">
      <c r="A14" s="215"/>
      <c r="B14" s="361" t="s">
        <v>189</v>
      </c>
      <c r="C14" s="362"/>
      <c r="D14" s="215"/>
      <c r="M14" s="209" t="s">
        <v>190</v>
      </c>
      <c r="N14" s="209">
        <v>1</v>
      </c>
    </row>
    <row r="15" spans="1:14" ht="14.25" x14ac:dyDescent="0.2">
      <c r="B15" s="216" t="s">
        <v>191</v>
      </c>
      <c r="C15" s="217">
        <f>IF(C10=1, 0, CHOOSE($N$9,$C$16,0))</f>
        <v>1</v>
      </c>
    </row>
    <row r="16" spans="1:14" ht="14.25" x14ac:dyDescent="0.2">
      <c r="B16" s="218" t="s">
        <v>192</v>
      </c>
      <c r="C16" s="219">
        <f>VLOOKUP($C$11,$M$11:$N$14,2,0)</f>
        <v>1</v>
      </c>
    </row>
    <row r="17" spans="2:14" ht="14.25" x14ac:dyDescent="0.2">
      <c r="B17" s="218" t="s">
        <v>193</v>
      </c>
      <c r="C17" s="220">
        <f>$C$10*$C$16</f>
        <v>3</v>
      </c>
    </row>
    <row r="18" spans="2:14" ht="14.25" x14ac:dyDescent="0.2">
      <c r="B18" s="218" t="s">
        <v>194</v>
      </c>
      <c r="C18" s="221">
        <f>$F$143</f>
        <v>228272.03883495147</v>
      </c>
      <c r="E18" s="222"/>
    </row>
    <row r="19" spans="2:14" ht="15" thickBot="1" x14ac:dyDescent="0.25">
      <c r="B19" s="223" t="s">
        <v>195</v>
      </c>
      <c r="C19" s="224">
        <f>$D$143</f>
        <v>1741272.0388349516</v>
      </c>
    </row>
    <row r="20" spans="2:14" ht="13.5" thickBot="1" x14ac:dyDescent="0.25">
      <c r="N20" s="225"/>
    </row>
    <row r="21" spans="2:14" ht="15" thickBot="1" x14ac:dyDescent="0.25">
      <c r="B21" s="354" t="s">
        <v>196</v>
      </c>
      <c r="C21" s="355"/>
      <c r="D21" s="355"/>
      <c r="E21" s="355"/>
      <c r="F21" s="355"/>
      <c r="G21" s="356"/>
    </row>
    <row r="22" spans="2:14" s="229" customFormat="1" ht="15" thickBot="1" x14ac:dyDescent="0.25">
      <c r="B22" s="226" t="s">
        <v>197</v>
      </c>
      <c r="C22" s="227" t="s">
        <v>198</v>
      </c>
      <c r="D22" s="227" t="s">
        <v>197</v>
      </c>
      <c r="E22" s="227" t="s">
        <v>199</v>
      </c>
      <c r="F22" s="227" t="s">
        <v>200</v>
      </c>
      <c r="G22" s="228" t="s">
        <v>201</v>
      </c>
    </row>
    <row r="23" spans="2:14" x14ac:dyDescent="0.2">
      <c r="B23" s="230">
        <v>1</v>
      </c>
      <c r="C23" s="315">
        <f>C8</f>
        <v>1513000</v>
      </c>
      <c r="D23" s="315">
        <f>IF(((IF($B23&lt;=$C$17,(CHOOSE($N$9,IF(B23&lt;=$C$15,F23,-PMT($C$9/$C$16,$C$17-$C$15,$C$8)),-PMT($C$9/$C$16,$C$17,$C$8))),0))&lt;1),0,(IF($B23&lt;=$C$17,(CHOOSE($N$9,IF(B23&lt;=$C$15,F23,-PMT($C$9/$C$16,$C$17-$C$15,$C$8)),-PMT($C$9/$C$16,$C$17,$C$8))),0)))</f>
        <v>90780</v>
      </c>
      <c r="E23" s="315">
        <f>IF(((D23-F23)&lt;1),0,(D23-F23))</f>
        <v>0</v>
      </c>
      <c r="F23" s="315">
        <f>IF((C23*$C$9/$C$16)&lt;1,0,(C23*$C$9/$C$16))</f>
        <v>90780</v>
      </c>
      <c r="G23" s="315">
        <f>IF((C23-E23)&lt;1,0,(C23-E23))</f>
        <v>1513000</v>
      </c>
      <c r="H23" s="231"/>
      <c r="I23" s="232"/>
    </row>
    <row r="24" spans="2:14" x14ac:dyDescent="0.2">
      <c r="B24" s="233">
        <v>2</v>
      </c>
      <c r="C24" s="317">
        <f>G23</f>
        <v>1513000</v>
      </c>
      <c r="D24" s="315">
        <f t="shared" ref="D24:D87" si="0">IF(((IF($B24&lt;=$C$17,(CHOOSE($N$9,IF(B24&lt;=$C$15,F24,-PMT($C$9/$C$16,$C$17-$C$15,$C$8)),-PMT($C$9/$C$16,$C$17,$C$8))),0))&lt;1),0,(IF($B24&lt;=$C$17,(CHOOSE($N$9,IF(B24&lt;=$C$15,F24,-PMT($C$9/$C$16,$C$17-$C$15,$C$8)),-PMT($C$9/$C$16,$C$17,$C$8))),0)))</f>
        <v>825246.01941747579</v>
      </c>
      <c r="E24" s="315">
        <f t="shared" ref="E24:E87" si="1">IF(((D24-F24)&lt;1),0,(D24-F24))</f>
        <v>734466.01941747579</v>
      </c>
      <c r="F24" s="315">
        <f t="shared" ref="F24:F87" si="2">IF((C24*$C$9/$C$16)&lt;1,0,(C24*$C$9/$C$16))</f>
        <v>90780</v>
      </c>
      <c r="G24" s="315">
        <f t="shared" ref="G24:G87" si="3">IF((C24-E24)&lt;1,0,(C24-E24))</f>
        <v>778533.98058252421</v>
      </c>
      <c r="H24" s="231"/>
    </row>
    <row r="25" spans="2:14" x14ac:dyDescent="0.2">
      <c r="B25" s="233">
        <v>3</v>
      </c>
      <c r="C25" s="317">
        <f t="shared" ref="C25:C88" si="4">G24</f>
        <v>778533.98058252421</v>
      </c>
      <c r="D25" s="315">
        <f t="shared" si="0"/>
        <v>825246.01941747579</v>
      </c>
      <c r="E25" s="315">
        <f t="shared" si="1"/>
        <v>778533.98058252432</v>
      </c>
      <c r="F25" s="315">
        <f t="shared" si="2"/>
        <v>46712.038834951454</v>
      </c>
      <c r="G25" s="315">
        <f t="shared" si="3"/>
        <v>0</v>
      </c>
      <c r="H25" s="231"/>
    </row>
    <row r="26" spans="2:14" x14ac:dyDescent="0.2">
      <c r="B26" s="233">
        <v>4</v>
      </c>
      <c r="C26" s="317">
        <f t="shared" si="4"/>
        <v>0</v>
      </c>
      <c r="D26" s="315">
        <f t="shared" si="0"/>
        <v>0</v>
      </c>
      <c r="E26" s="315">
        <f t="shared" si="1"/>
        <v>0</v>
      </c>
      <c r="F26" s="315">
        <f t="shared" si="2"/>
        <v>0</v>
      </c>
      <c r="G26" s="315">
        <f t="shared" si="3"/>
        <v>0</v>
      </c>
      <c r="H26" s="231"/>
    </row>
    <row r="27" spans="2:14" x14ac:dyDescent="0.2">
      <c r="B27" s="233">
        <v>5</v>
      </c>
      <c r="C27" s="317">
        <f t="shared" si="4"/>
        <v>0</v>
      </c>
      <c r="D27" s="315">
        <f t="shared" si="0"/>
        <v>0</v>
      </c>
      <c r="E27" s="315">
        <f t="shared" si="1"/>
        <v>0</v>
      </c>
      <c r="F27" s="315">
        <f t="shared" si="2"/>
        <v>0</v>
      </c>
      <c r="G27" s="315">
        <f t="shared" si="3"/>
        <v>0</v>
      </c>
      <c r="H27" s="231"/>
    </row>
    <row r="28" spans="2:14" x14ac:dyDescent="0.2">
      <c r="B28" s="233">
        <v>6</v>
      </c>
      <c r="C28" s="317">
        <f t="shared" si="4"/>
        <v>0</v>
      </c>
      <c r="D28" s="315">
        <f t="shared" si="0"/>
        <v>0</v>
      </c>
      <c r="E28" s="315">
        <f t="shared" si="1"/>
        <v>0</v>
      </c>
      <c r="F28" s="315">
        <f t="shared" si="2"/>
        <v>0</v>
      </c>
      <c r="G28" s="315">
        <f t="shared" si="3"/>
        <v>0</v>
      </c>
      <c r="H28" s="231"/>
    </row>
    <row r="29" spans="2:14" x14ac:dyDescent="0.2">
      <c r="B29" s="233">
        <v>7</v>
      </c>
      <c r="C29" s="317">
        <f t="shared" si="4"/>
        <v>0</v>
      </c>
      <c r="D29" s="315">
        <f t="shared" si="0"/>
        <v>0</v>
      </c>
      <c r="E29" s="315">
        <f t="shared" si="1"/>
        <v>0</v>
      </c>
      <c r="F29" s="315">
        <f t="shared" si="2"/>
        <v>0</v>
      </c>
      <c r="G29" s="315">
        <f t="shared" si="3"/>
        <v>0</v>
      </c>
      <c r="H29" s="231"/>
    </row>
    <row r="30" spans="2:14" x14ac:dyDescent="0.2">
      <c r="B30" s="233">
        <v>8</v>
      </c>
      <c r="C30" s="317">
        <f t="shared" si="4"/>
        <v>0</v>
      </c>
      <c r="D30" s="315">
        <f t="shared" si="0"/>
        <v>0</v>
      </c>
      <c r="E30" s="315">
        <f t="shared" si="1"/>
        <v>0</v>
      </c>
      <c r="F30" s="315">
        <f t="shared" si="2"/>
        <v>0</v>
      </c>
      <c r="G30" s="315">
        <f t="shared" si="3"/>
        <v>0</v>
      </c>
      <c r="H30" s="231"/>
    </row>
    <row r="31" spans="2:14" x14ac:dyDescent="0.2">
      <c r="B31" s="233">
        <v>9</v>
      </c>
      <c r="C31" s="317">
        <f t="shared" si="4"/>
        <v>0</v>
      </c>
      <c r="D31" s="315">
        <f t="shared" si="0"/>
        <v>0</v>
      </c>
      <c r="E31" s="315">
        <f t="shared" si="1"/>
        <v>0</v>
      </c>
      <c r="F31" s="315">
        <f t="shared" si="2"/>
        <v>0</v>
      </c>
      <c r="G31" s="315">
        <f t="shared" si="3"/>
        <v>0</v>
      </c>
      <c r="H31" s="231"/>
    </row>
    <row r="32" spans="2:14" x14ac:dyDescent="0.2">
      <c r="B32" s="233">
        <v>10</v>
      </c>
      <c r="C32" s="317">
        <f t="shared" si="4"/>
        <v>0</v>
      </c>
      <c r="D32" s="315">
        <f t="shared" si="0"/>
        <v>0</v>
      </c>
      <c r="E32" s="315">
        <f t="shared" si="1"/>
        <v>0</v>
      </c>
      <c r="F32" s="315">
        <f t="shared" si="2"/>
        <v>0</v>
      </c>
      <c r="G32" s="315">
        <f t="shared" si="3"/>
        <v>0</v>
      </c>
      <c r="H32" s="231"/>
    </row>
    <row r="33" spans="2:9" x14ac:dyDescent="0.2">
      <c r="B33" s="233">
        <v>11</v>
      </c>
      <c r="C33" s="317">
        <f t="shared" si="4"/>
        <v>0</v>
      </c>
      <c r="D33" s="315">
        <f t="shared" si="0"/>
        <v>0</v>
      </c>
      <c r="E33" s="315">
        <f t="shared" si="1"/>
        <v>0</v>
      </c>
      <c r="F33" s="315">
        <f t="shared" si="2"/>
        <v>0</v>
      </c>
      <c r="G33" s="315">
        <f t="shared" si="3"/>
        <v>0</v>
      </c>
      <c r="H33" s="231"/>
    </row>
    <row r="34" spans="2:9" x14ac:dyDescent="0.2">
      <c r="B34" s="233">
        <v>12</v>
      </c>
      <c r="C34" s="317">
        <f t="shared" si="4"/>
        <v>0</v>
      </c>
      <c r="D34" s="315">
        <f t="shared" si="0"/>
        <v>0</v>
      </c>
      <c r="E34" s="315">
        <f t="shared" si="1"/>
        <v>0</v>
      </c>
      <c r="F34" s="315">
        <f t="shared" si="2"/>
        <v>0</v>
      </c>
      <c r="G34" s="315">
        <f t="shared" si="3"/>
        <v>0</v>
      </c>
      <c r="H34" s="231"/>
    </row>
    <row r="35" spans="2:9" x14ac:dyDescent="0.2">
      <c r="B35" s="233">
        <v>13</v>
      </c>
      <c r="C35" s="317">
        <f t="shared" si="4"/>
        <v>0</v>
      </c>
      <c r="D35" s="315">
        <f t="shared" si="0"/>
        <v>0</v>
      </c>
      <c r="E35" s="315">
        <f t="shared" si="1"/>
        <v>0</v>
      </c>
      <c r="F35" s="315">
        <f t="shared" si="2"/>
        <v>0</v>
      </c>
      <c r="G35" s="315">
        <f t="shared" si="3"/>
        <v>0</v>
      </c>
      <c r="H35" s="231"/>
      <c r="I35" s="234"/>
    </row>
    <row r="36" spans="2:9" x14ac:dyDescent="0.2">
      <c r="B36" s="233">
        <v>14</v>
      </c>
      <c r="C36" s="317">
        <f t="shared" si="4"/>
        <v>0</v>
      </c>
      <c r="D36" s="315">
        <f t="shared" si="0"/>
        <v>0</v>
      </c>
      <c r="E36" s="315">
        <f t="shared" si="1"/>
        <v>0</v>
      </c>
      <c r="F36" s="315">
        <f t="shared" si="2"/>
        <v>0</v>
      </c>
      <c r="G36" s="315">
        <f t="shared" si="3"/>
        <v>0</v>
      </c>
      <c r="H36" s="231"/>
    </row>
    <row r="37" spans="2:9" x14ac:dyDescent="0.2">
      <c r="B37" s="233">
        <v>15</v>
      </c>
      <c r="C37" s="317">
        <f t="shared" si="4"/>
        <v>0</v>
      </c>
      <c r="D37" s="315">
        <f t="shared" si="0"/>
        <v>0</v>
      </c>
      <c r="E37" s="315">
        <f t="shared" si="1"/>
        <v>0</v>
      </c>
      <c r="F37" s="315">
        <f t="shared" si="2"/>
        <v>0</v>
      </c>
      <c r="G37" s="315">
        <f t="shared" si="3"/>
        <v>0</v>
      </c>
      <c r="H37" s="231"/>
    </row>
    <row r="38" spans="2:9" x14ac:dyDescent="0.2">
      <c r="B38" s="233">
        <v>16</v>
      </c>
      <c r="C38" s="317">
        <f t="shared" si="4"/>
        <v>0</v>
      </c>
      <c r="D38" s="315">
        <f t="shared" si="0"/>
        <v>0</v>
      </c>
      <c r="E38" s="315">
        <f t="shared" si="1"/>
        <v>0</v>
      </c>
      <c r="F38" s="315">
        <f t="shared" si="2"/>
        <v>0</v>
      </c>
      <c r="G38" s="315">
        <f t="shared" si="3"/>
        <v>0</v>
      </c>
      <c r="H38" s="231"/>
    </row>
    <row r="39" spans="2:9" x14ac:dyDescent="0.2">
      <c r="B39" s="233">
        <v>17</v>
      </c>
      <c r="C39" s="317">
        <f t="shared" si="4"/>
        <v>0</v>
      </c>
      <c r="D39" s="315">
        <f t="shared" si="0"/>
        <v>0</v>
      </c>
      <c r="E39" s="315">
        <f t="shared" si="1"/>
        <v>0</v>
      </c>
      <c r="F39" s="315">
        <f t="shared" si="2"/>
        <v>0</v>
      </c>
      <c r="G39" s="315">
        <f t="shared" si="3"/>
        <v>0</v>
      </c>
      <c r="H39" s="231"/>
    </row>
    <row r="40" spans="2:9" x14ac:dyDescent="0.2">
      <c r="B40" s="233">
        <v>18</v>
      </c>
      <c r="C40" s="317">
        <f t="shared" si="4"/>
        <v>0</v>
      </c>
      <c r="D40" s="315">
        <f t="shared" si="0"/>
        <v>0</v>
      </c>
      <c r="E40" s="315">
        <f t="shared" si="1"/>
        <v>0</v>
      </c>
      <c r="F40" s="315">
        <f t="shared" si="2"/>
        <v>0</v>
      </c>
      <c r="G40" s="315">
        <f t="shared" si="3"/>
        <v>0</v>
      </c>
      <c r="H40" s="231"/>
    </row>
    <row r="41" spans="2:9" x14ac:dyDescent="0.2">
      <c r="B41" s="233">
        <v>19</v>
      </c>
      <c r="C41" s="317">
        <f t="shared" si="4"/>
        <v>0</v>
      </c>
      <c r="D41" s="315">
        <f t="shared" si="0"/>
        <v>0</v>
      </c>
      <c r="E41" s="315">
        <f t="shared" si="1"/>
        <v>0</v>
      </c>
      <c r="F41" s="315">
        <f t="shared" si="2"/>
        <v>0</v>
      </c>
      <c r="G41" s="315">
        <f t="shared" si="3"/>
        <v>0</v>
      </c>
      <c r="H41" s="231"/>
    </row>
    <row r="42" spans="2:9" x14ac:dyDescent="0.2">
      <c r="B42" s="233">
        <v>20</v>
      </c>
      <c r="C42" s="317">
        <f t="shared" si="4"/>
        <v>0</v>
      </c>
      <c r="D42" s="315">
        <f t="shared" si="0"/>
        <v>0</v>
      </c>
      <c r="E42" s="315">
        <f t="shared" si="1"/>
        <v>0</v>
      </c>
      <c r="F42" s="315">
        <f t="shared" si="2"/>
        <v>0</v>
      </c>
      <c r="G42" s="315">
        <f t="shared" si="3"/>
        <v>0</v>
      </c>
      <c r="H42" s="231"/>
    </row>
    <row r="43" spans="2:9" x14ac:dyDescent="0.2">
      <c r="B43" s="233">
        <v>21</v>
      </c>
      <c r="C43" s="317">
        <f t="shared" si="4"/>
        <v>0</v>
      </c>
      <c r="D43" s="315">
        <f t="shared" si="0"/>
        <v>0</v>
      </c>
      <c r="E43" s="315">
        <f t="shared" si="1"/>
        <v>0</v>
      </c>
      <c r="F43" s="315">
        <f t="shared" si="2"/>
        <v>0</v>
      </c>
      <c r="G43" s="315">
        <f t="shared" si="3"/>
        <v>0</v>
      </c>
      <c r="H43" s="231"/>
    </row>
    <row r="44" spans="2:9" x14ac:dyDescent="0.2">
      <c r="B44" s="233">
        <v>22</v>
      </c>
      <c r="C44" s="317">
        <f t="shared" si="4"/>
        <v>0</v>
      </c>
      <c r="D44" s="315">
        <f t="shared" si="0"/>
        <v>0</v>
      </c>
      <c r="E44" s="315">
        <f t="shared" si="1"/>
        <v>0</v>
      </c>
      <c r="F44" s="315">
        <f t="shared" si="2"/>
        <v>0</v>
      </c>
      <c r="G44" s="315">
        <f t="shared" si="3"/>
        <v>0</v>
      </c>
      <c r="H44" s="231"/>
    </row>
    <row r="45" spans="2:9" x14ac:dyDescent="0.2">
      <c r="B45" s="233">
        <v>23</v>
      </c>
      <c r="C45" s="317">
        <f t="shared" si="4"/>
        <v>0</v>
      </c>
      <c r="D45" s="315">
        <f t="shared" si="0"/>
        <v>0</v>
      </c>
      <c r="E45" s="315">
        <f t="shared" si="1"/>
        <v>0</v>
      </c>
      <c r="F45" s="315">
        <f t="shared" si="2"/>
        <v>0</v>
      </c>
      <c r="G45" s="315">
        <f t="shared" si="3"/>
        <v>0</v>
      </c>
      <c r="H45" s="231"/>
    </row>
    <row r="46" spans="2:9" x14ac:dyDescent="0.2">
      <c r="B46" s="233">
        <v>24</v>
      </c>
      <c r="C46" s="317">
        <f t="shared" si="4"/>
        <v>0</v>
      </c>
      <c r="D46" s="315">
        <f t="shared" si="0"/>
        <v>0</v>
      </c>
      <c r="E46" s="315">
        <f t="shared" si="1"/>
        <v>0</v>
      </c>
      <c r="F46" s="315">
        <f t="shared" si="2"/>
        <v>0</v>
      </c>
      <c r="G46" s="315">
        <f t="shared" si="3"/>
        <v>0</v>
      </c>
      <c r="H46" s="231"/>
    </row>
    <row r="47" spans="2:9" x14ac:dyDescent="0.2">
      <c r="B47" s="233">
        <v>25</v>
      </c>
      <c r="C47" s="317">
        <f t="shared" si="4"/>
        <v>0</v>
      </c>
      <c r="D47" s="315">
        <f t="shared" si="0"/>
        <v>0</v>
      </c>
      <c r="E47" s="315">
        <f t="shared" si="1"/>
        <v>0</v>
      </c>
      <c r="F47" s="315">
        <f t="shared" si="2"/>
        <v>0</v>
      </c>
      <c r="G47" s="315">
        <f t="shared" si="3"/>
        <v>0</v>
      </c>
      <c r="H47" s="231"/>
    </row>
    <row r="48" spans="2:9" x14ac:dyDescent="0.2">
      <c r="B48" s="233">
        <v>26</v>
      </c>
      <c r="C48" s="317">
        <f t="shared" si="4"/>
        <v>0</v>
      </c>
      <c r="D48" s="315">
        <f t="shared" si="0"/>
        <v>0</v>
      </c>
      <c r="E48" s="315">
        <f t="shared" si="1"/>
        <v>0</v>
      </c>
      <c r="F48" s="315">
        <f t="shared" si="2"/>
        <v>0</v>
      </c>
      <c r="G48" s="315">
        <f t="shared" si="3"/>
        <v>0</v>
      </c>
      <c r="H48" s="231"/>
    </row>
    <row r="49" spans="2:8" x14ac:dyDescent="0.2">
      <c r="B49" s="233">
        <v>27</v>
      </c>
      <c r="C49" s="317">
        <f t="shared" si="4"/>
        <v>0</v>
      </c>
      <c r="D49" s="315">
        <f t="shared" si="0"/>
        <v>0</v>
      </c>
      <c r="E49" s="315">
        <f t="shared" si="1"/>
        <v>0</v>
      </c>
      <c r="F49" s="315">
        <f t="shared" si="2"/>
        <v>0</v>
      </c>
      <c r="G49" s="315">
        <f t="shared" si="3"/>
        <v>0</v>
      </c>
      <c r="H49" s="231"/>
    </row>
    <row r="50" spans="2:8" x14ac:dyDescent="0.2">
      <c r="B50" s="233">
        <v>28</v>
      </c>
      <c r="C50" s="317">
        <f t="shared" si="4"/>
        <v>0</v>
      </c>
      <c r="D50" s="315">
        <f t="shared" si="0"/>
        <v>0</v>
      </c>
      <c r="E50" s="315">
        <f t="shared" si="1"/>
        <v>0</v>
      </c>
      <c r="F50" s="315">
        <f t="shared" si="2"/>
        <v>0</v>
      </c>
      <c r="G50" s="315">
        <f t="shared" si="3"/>
        <v>0</v>
      </c>
      <c r="H50" s="231"/>
    </row>
    <row r="51" spans="2:8" x14ac:dyDescent="0.2">
      <c r="B51" s="233">
        <v>29</v>
      </c>
      <c r="C51" s="317">
        <f t="shared" si="4"/>
        <v>0</v>
      </c>
      <c r="D51" s="315">
        <f t="shared" si="0"/>
        <v>0</v>
      </c>
      <c r="E51" s="315">
        <f t="shared" si="1"/>
        <v>0</v>
      </c>
      <c r="F51" s="315">
        <f t="shared" si="2"/>
        <v>0</v>
      </c>
      <c r="G51" s="315">
        <f t="shared" si="3"/>
        <v>0</v>
      </c>
      <c r="H51" s="231"/>
    </row>
    <row r="52" spans="2:8" x14ac:dyDescent="0.2">
      <c r="B52" s="233">
        <v>30</v>
      </c>
      <c r="C52" s="317">
        <f t="shared" si="4"/>
        <v>0</v>
      </c>
      <c r="D52" s="315">
        <f t="shared" si="0"/>
        <v>0</v>
      </c>
      <c r="E52" s="315">
        <f t="shared" si="1"/>
        <v>0</v>
      </c>
      <c r="F52" s="315">
        <f t="shared" si="2"/>
        <v>0</v>
      </c>
      <c r="G52" s="315">
        <f t="shared" si="3"/>
        <v>0</v>
      </c>
      <c r="H52" s="231"/>
    </row>
    <row r="53" spans="2:8" x14ac:dyDescent="0.2">
      <c r="B53" s="233">
        <v>31</v>
      </c>
      <c r="C53" s="317">
        <f t="shared" si="4"/>
        <v>0</v>
      </c>
      <c r="D53" s="315">
        <f t="shared" si="0"/>
        <v>0</v>
      </c>
      <c r="E53" s="315">
        <f t="shared" si="1"/>
        <v>0</v>
      </c>
      <c r="F53" s="315">
        <f t="shared" si="2"/>
        <v>0</v>
      </c>
      <c r="G53" s="315">
        <f t="shared" si="3"/>
        <v>0</v>
      </c>
      <c r="H53" s="231"/>
    </row>
    <row r="54" spans="2:8" x14ac:dyDescent="0.2">
      <c r="B54" s="233">
        <v>32</v>
      </c>
      <c r="C54" s="317">
        <f t="shared" si="4"/>
        <v>0</v>
      </c>
      <c r="D54" s="315">
        <f t="shared" si="0"/>
        <v>0</v>
      </c>
      <c r="E54" s="315">
        <f t="shared" si="1"/>
        <v>0</v>
      </c>
      <c r="F54" s="315">
        <f t="shared" si="2"/>
        <v>0</v>
      </c>
      <c r="G54" s="315">
        <f t="shared" si="3"/>
        <v>0</v>
      </c>
      <c r="H54" s="231"/>
    </row>
    <row r="55" spans="2:8" x14ac:dyDescent="0.2">
      <c r="B55" s="233">
        <v>33</v>
      </c>
      <c r="C55" s="317">
        <f t="shared" si="4"/>
        <v>0</v>
      </c>
      <c r="D55" s="315">
        <f t="shared" si="0"/>
        <v>0</v>
      </c>
      <c r="E55" s="315">
        <f t="shared" si="1"/>
        <v>0</v>
      </c>
      <c r="F55" s="315">
        <f t="shared" si="2"/>
        <v>0</v>
      </c>
      <c r="G55" s="315">
        <f t="shared" si="3"/>
        <v>0</v>
      </c>
      <c r="H55" s="231"/>
    </row>
    <row r="56" spans="2:8" x14ac:dyDescent="0.2">
      <c r="B56" s="233">
        <v>34</v>
      </c>
      <c r="C56" s="317">
        <f t="shared" si="4"/>
        <v>0</v>
      </c>
      <c r="D56" s="315">
        <f t="shared" si="0"/>
        <v>0</v>
      </c>
      <c r="E56" s="315">
        <f t="shared" si="1"/>
        <v>0</v>
      </c>
      <c r="F56" s="315">
        <f t="shared" si="2"/>
        <v>0</v>
      </c>
      <c r="G56" s="315">
        <f t="shared" si="3"/>
        <v>0</v>
      </c>
      <c r="H56" s="231"/>
    </row>
    <row r="57" spans="2:8" x14ac:dyDescent="0.2">
      <c r="B57" s="233">
        <v>35</v>
      </c>
      <c r="C57" s="317">
        <f t="shared" si="4"/>
        <v>0</v>
      </c>
      <c r="D57" s="315">
        <f t="shared" si="0"/>
        <v>0</v>
      </c>
      <c r="E57" s="315">
        <f t="shared" si="1"/>
        <v>0</v>
      </c>
      <c r="F57" s="315">
        <f t="shared" si="2"/>
        <v>0</v>
      </c>
      <c r="G57" s="315">
        <f t="shared" si="3"/>
        <v>0</v>
      </c>
      <c r="H57" s="231"/>
    </row>
    <row r="58" spans="2:8" x14ac:dyDescent="0.2">
      <c r="B58" s="233">
        <v>36</v>
      </c>
      <c r="C58" s="317">
        <f t="shared" si="4"/>
        <v>0</v>
      </c>
      <c r="D58" s="315">
        <f t="shared" si="0"/>
        <v>0</v>
      </c>
      <c r="E58" s="315">
        <f t="shared" si="1"/>
        <v>0</v>
      </c>
      <c r="F58" s="315">
        <f t="shared" si="2"/>
        <v>0</v>
      </c>
      <c r="G58" s="315">
        <f t="shared" si="3"/>
        <v>0</v>
      </c>
      <c r="H58" s="231"/>
    </row>
    <row r="59" spans="2:8" x14ac:dyDescent="0.2">
      <c r="B59" s="233">
        <v>37</v>
      </c>
      <c r="C59" s="317">
        <f t="shared" si="4"/>
        <v>0</v>
      </c>
      <c r="D59" s="315">
        <f t="shared" si="0"/>
        <v>0</v>
      </c>
      <c r="E59" s="315">
        <f t="shared" si="1"/>
        <v>0</v>
      </c>
      <c r="F59" s="315">
        <f t="shared" si="2"/>
        <v>0</v>
      </c>
      <c r="G59" s="315">
        <f t="shared" si="3"/>
        <v>0</v>
      </c>
      <c r="H59" s="231"/>
    </row>
    <row r="60" spans="2:8" x14ac:dyDescent="0.2">
      <c r="B60" s="233">
        <v>38</v>
      </c>
      <c r="C60" s="317">
        <f t="shared" si="4"/>
        <v>0</v>
      </c>
      <c r="D60" s="315">
        <f t="shared" si="0"/>
        <v>0</v>
      </c>
      <c r="E60" s="315">
        <f t="shared" si="1"/>
        <v>0</v>
      </c>
      <c r="F60" s="315">
        <f t="shared" si="2"/>
        <v>0</v>
      </c>
      <c r="G60" s="315">
        <f t="shared" si="3"/>
        <v>0</v>
      </c>
      <c r="H60" s="231"/>
    </row>
    <row r="61" spans="2:8" x14ac:dyDescent="0.2">
      <c r="B61" s="233">
        <v>39</v>
      </c>
      <c r="C61" s="317">
        <f t="shared" si="4"/>
        <v>0</v>
      </c>
      <c r="D61" s="315">
        <f t="shared" si="0"/>
        <v>0</v>
      </c>
      <c r="E61" s="315">
        <f t="shared" si="1"/>
        <v>0</v>
      </c>
      <c r="F61" s="315">
        <f t="shared" si="2"/>
        <v>0</v>
      </c>
      <c r="G61" s="315">
        <f t="shared" si="3"/>
        <v>0</v>
      </c>
      <c r="H61" s="231"/>
    </row>
    <row r="62" spans="2:8" x14ac:dyDescent="0.2">
      <c r="B62" s="233">
        <v>40</v>
      </c>
      <c r="C62" s="317">
        <f t="shared" si="4"/>
        <v>0</v>
      </c>
      <c r="D62" s="315">
        <f t="shared" si="0"/>
        <v>0</v>
      </c>
      <c r="E62" s="315">
        <f t="shared" si="1"/>
        <v>0</v>
      </c>
      <c r="F62" s="315">
        <f t="shared" si="2"/>
        <v>0</v>
      </c>
      <c r="G62" s="315">
        <f t="shared" si="3"/>
        <v>0</v>
      </c>
      <c r="H62" s="231"/>
    </row>
    <row r="63" spans="2:8" x14ac:dyDescent="0.2">
      <c r="B63" s="233">
        <v>41</v>
      </c>
      <c r="C63" s="317">
        <f t="shared" si="4"/>
        <v>0</v>
      </c>
      <c r="D63" s="315">
        <f t="shared" si="0"/>
        <v>0</v>
      </c>
      <c r="E63" s="315">
        <f t="shared" si="1"/>
        <v>0</v>
      </c>
      <c r="F63" s="315">
        <f t="shared" si="2"/>
        <v>0</v>
      </c>
      <c r="G63" s="315">
        <f t="shared" si="3"/>
        <v>0</v>
      </c>
      <c r="H63" s="231"/>
    </row>
    <row r="64" spans="2:8" x14ac:dyDescent="0.2">
      <c r="B64" s="233">
        <v>42</v>
      </c>
      <c r="C64" s="317">
        <f t="shared" si="4"/>
        <v>0</v>
      </c>
      <c r="D64" s="315">
        <f t="shared" si="0"/>
        <v>0</v>
      </c>
      <c r="E64" s="315">
        <f t="shared" si="1"/>
        <v>0</v>
      </c>
      <c r="F64" s="315">
        <f t="shared" si="2"/>
        <v>0</v>
      </c>
      <c r="G64" s="315">
        <f t="shared" si="3"/>
        <v>0</v>
      </c>
      <c r="H64" s="231"/>
    </row>
    <row r="65" spans="2:8" x14ac:dyDescent="0.2">
      <c r="B65" s="233">
        <v>43</v>
      </c>
      <c r="C65" s="317">
        <f t="shared" si="4"/>
        <v>0</v>
      </c>
      <c r="D65" s="315">
        <f t="shared" si="0"/>
        <v>0</v>
      </c>
      <c r="E65" s="315">
        <f t="shared" si="1"/>
        <v>0</v>
      </c>
      <c r="F65" s="315">
        <f t="shared" si="2"/>
        <v>0</v>
      </c>
      <c r="G65" s="315">
        <f t="shared" si="3"/>
        <v>0</v>
      </c>
      <c r="H65" s="231"/>
    </row>
    <row r="66" spans="2:8" x14ac:dyDescent="0.2">
      <c r="B66" s="233">
        <v>44</v>
      </c>
      <c r="C66" s="317">
        <f t="shared" si="4"/>
        <v>0</v>
      </c>
      <c r="D66" s="315">
        <f t="shared" si="0"/>
        <v>0</v>
      </c>
      <c r="E66" s="315">
        <f t="shared" si="1"/>
        <v>0</v>
      </c>
      <c r="F66" s="315">
        <f t="shared" si="2"/>
        <v>0</v>
      </c>
      <c r="G66" s="315">
        <f t="shared" si="3"/>
        <v>0</v>
      </c>
      <c r="H66" s="231"/>
    </row>
    <row r="67" spans="2:8" x14ac:dyDescent="0.2">
      <c r="B67" s="233">
        <v>45</v>
      </c>
      <c r="C67" s="317">
        <f t="shared" si="4"/>
        <v>0</v>
      </c>
      <c r="D67" s="315">
        <f t="shared" si="0"/>
        <v>0</v>
      </c>
      <c r="E67" s="315">
        <f t="shared" si="1"/>
        <v>0</v>
      </c>
      <c r="F67" s="315">
        <f t="shared" si="2"/>
        <v>0</v>
      </c>
      <c r="G67" s="315">
        <f t="shared" si="3"/>
        <v>0</v>
      </c>
      <c r="H67" s="231"/>
    </row>
    <row r="68" spans="2:8" x14ac:dyDescent="0.2">
      <c r="B68" s="233">
        <v>46</v>
      </c>
      <c r="C68" s="317">
        <f t="shared" si="4"/>
        <v>0</v>
      </c>
      <c r="D68" s="315">
        <f t="shared" si="0"/>
        <v>0</v>
      </c>
      <c r="E68" s="315">
        <f t="shared" si="1"/>
        <v>0</v>
      </c>
      <c r="F68" s="315">
        <f t="shared" si="2"/>
        <v>0</v>
      </c>
      <c r="G68" s="315">
        <f t="shared" si="3"/>
        <v>0</v>
      </c>
      <c r="H68" s="231"/>
    </row>
    <row r="69" spans="2:8" x14ac:dyDescent="0.2">
      <c r="B69" s="233">
        <v>47</v>
      </c>
      <c r="C69" s="317">
        <f t="shared" si="4"/>
        <v>0</v>
      </c>
      <c r="D69" s="315">
        <f t="shared" si="0"/>
        <v>0</v>
      </c>
      <c r="E69" s="315">
        <f t="shared" si="1"/>
        <v>0</v>
      </c>
      <c r="F69" s="315">
        <f t="shared" si="2"/>
        <v>0</v>
      </c>
      <c r="G69" s="315">
        <f t="shared" si="3"/>
        <v>0</v>
      </c>
      <c r="H69" s="231"/>
    </row>
    <row r="70" spans="2:8" x14ac:dyDescent="0.2">
      <c r="B70" s="233">
        <v>48</v>
      </c>
      <c r="C70" s="317">
        <f t="shared" si="4"/>
        <v>0</v>
      </c>
      <c r="D70" s="315">
        <f t="shared" si="0"/>
        <v>0</v>
      </c>
      <c r="E70" s="315">
        <f t="shared" si="1"/>
        <v>0</v>
      </c>
      <c r="F70" s="315">
        <f t="shared" si="2"/>
        <v>0</v>
      </c>
      <c r="G70" s="315">
        <f t="shared" si="3"/>
        <v>0</v>
      </c>
      <c r="H70" s="231"/>
    </row>
    <row r="71" spans="2:8" x14ac:dyDescent="0.2">
      <c r="B71" s="233">
        <v>49</v>
      </c>
      <c r="C71" s="317">
        <f t="shared" si="4"/>
        <v>0</v>
      </c>
      <c r="D71" s="315">
        <f t="shared" si="0"/>
        <v>0</v>
      </c>
      <c r="E71" s="315">
        <f t="shared" si="1"/>
        <v>0</v>
      </c>
      <c r="F71" s="315">
        <f t="shared" si="2"/>
        <v>0</v>
      </c>
      <c r="G71" s="315">
        <f t="shared" si="3"/>
        <v>0</v>
      </c>
      <c r="H71" s="231"/>
    </row>
    <row r="72" spans="2:8" x14ac:dyDescent="0.2">
      <c r="B72" s="233">
        <v>50</v>
      </c>
      <c r="C72" s="317">
        <f t="shared" si="4"/>
        <v>0</v>
      </c>
      <c r="D72" s="315">
        <f t="shared" si="0"/>
        <v>0</v>
      </c>
      <c r="E72" s="315">
        <f t="shared" si="1"/>
        <v>0</v>
      </c>
      <c r="F72" s="315">
        <f t="shared" si="2"/>
        <v>0</v>
      </c>
      <c r="G72" s="315">
        <f t="shared" si="3"/>
        <v>0</v>
      </c>
      <c r="H72" s="231"/>
    </row>
    <row r="73" spans="2:8" x14ac:dyDescent="0.2">
      <c r="B73" s="233">
        <v>51</v>
      </c>
      <c r="C73" s="317">
        <f t="shared" si="4"/>
        <v>0</v>
      </c>
      <c r="D73" s="315">
        <f t="shared" si="0"/>
        <v>0</v>
      </c>
      <c r="E73" s="315">
        <f t="shared" si="1"/>
        <v>0</v>
      </c>
      <c r="F73" s="315">
        <f t="shared" si="2"/>
        <v>0</v>
      </c>
      <c r="G73" s="315">
        <f t="shared" si="3"/>
        <v>0</v>
      </c>
      <c r="H73" s="231"/>
    </row>
    <row r="74" spans="2:8" x14ac:dyDescent="0.2">
      <c r="B74" s="233">
        <v>52</v>
      </c>
      <c r="C74" s="317">
        <f t="shared" si="4"/>
        <v>0</v>
      </c>
      <c r="D74" s="315">
        <f t="shared" si="0"/>
        <v>0</v>
      </c>
      <c r="E74" s="315">
        <f t="shared" si="1"/>
        <v>0</v>
      </c>
      <c r="F74" s="315">
        <f t="shared" si="2"/>
        <v>0</v>
      </c>
      <c r="G74" s="315">
        <f t="shared" si="3"/>
        <v>0</v>
      </c>
      <c r="H74" s="231"/>
    </row>
    <row r="75" spans="2:8" x14ac:dyDescent="0.2">
      <c r="B75" s="233">
        <v>53</v>
      </c>
      <c r="C75" s="317">
        <f t="shared" si="4"/>
        <v>0</v>
      </c>
      <c r="D75" s="315">
        <f t="shared" si="0"/>
        <v>0</v>
      </c>
      <c r="E75" s="315">
        <f t="shared" si="1"/>
        <v>0</v>
      </c>
      <c r="F75" s="315">
        <f t="shared" si="2"/>
        <v>0</v>
      </c>
      <c r="G75" s="315">
        <f t="shared" si="3"/>
        <v>0</v>
      </c>
      <c r="H75" s="231"/>
    </row>
    <row r="76" spans="2:8" x14ac:dyDescent="0.2">
      <c r="B76" s="233">
        <v>54</v>
      </c>
      <c r="C76" s="317">
        <f t="shared" si="4"/>
        <v>0</v>
      </c>
      <c r="D76" s="315">
        <f t="shared" si="0"/>
        <v>0</v>
      </c>
      <c r="E76" s="315">
        <f t="shared" si="1"/>
        <v>0</v>
      </c>
      <c r="F76" s="315">
        <f t="shared" si="2"/>
        <v>0</v>
      </c>
      <c r="G76" s="315">
        <f t="shared" si="3"/>
        <v>0</v>
      </c>
      <c r="H76" s="231"/>
    </row>
    <row r="77" spans="2:8" x14ac:dyDescent="0.2">
      <c r="B77" s="233">
        <v>55</v>
      </c>
      <c r="C77" s="317">
        <f t="shared" si="4"/>
        <v>0</v>
      </c>
      <c r="D77" s="315">
        <f t="shared" si="0"/>
        <v>0</v>
      </c>
      <c r="E77" s="315">
        <f t="shared" si="1"/>
        <v>0</v>
      </c>
      <c r="F77" s="315">
        <f t="shared" si="2"/>
        <v>0</v>
      </c>
      <c r="G77" s="315">
        <f t="shared" si="3"/>
        <v>0</v>
      </c>
      <c r="H77" s="231"/>
    </row>
    <row r="78" spans="2:8" x14ac:dyDescent="0.2">
      <c r="B78" s="233">
        <v>56</v>
      </c>
      <c r="C78" s="317">
        <f t="shared" si="4"/>
        <v>0</v>
      </c>
      <c r="D78" s="315">
        <f t="shared" si="0"/>
        <v>0</v>
      </c>
      <c r="E78" s="315">
        <f t="shared" si="1"/>
        <v>0</v>
      </c>
      <c r="F78" s="315">
        <f t="shared" si="2"/>
        <v>0</v>
      </c>
      <c r="G78" s="315">
        <f t="shared" si="3"/>
        <v>0</v>
      </c>
      <c r="H78" s="231"/>
    </row>
    <row r="79" spans="2:8" x14ac:dyDescent="0.2">
      <c r="B79" s="233">
        <v>57</v>
      </c>
      <c r="C79" s="317">
        <f t="shared" si="4"/>
        <v>0</v>
      </c>
      <c r="D79" s="315">
        <f t="shared" si="0"/>
        <v>0</v>
      </c>
      <c r="E79" s="315">
        <f t="shared" si="1"/>
        <v>0</v>
      </c>
      <c r="F79" s="315">
        <f t="shared" si="2"/>
        <v>0</v>
      </c>
      <c r="G79" s="315">
        <f t="shared" si="3"/>
        <v>0</v>
      </c>
      <c r="H79" s="231"/>
    </row>
    <row r="80" spans="2:8" x14ac:dyDescent="0.2">
      <c r="B80" s="233">
        <v>58</v>
      </c>
      <c r="C80" s="317">
        <f t="shared" si="4"/>
        <v>0</v>
      </c>
      <c r="D80" s="315">
        <f t="shared" si="0"/>
        <v>0</v>
      </c>
      <c r="E80" s="315">
        <f t="shared" si="1"/>
        <v>0</v>
      </c>
      <c r="F80" s="315">
        <f t="shared" si="2"/>
        <v>0</v>
      </c>
      <c r="G80" s="315">
        <f t="shared" si="3"/>
        <v>0</v>
      </c>
      <c r="H80" s="231"/>
    </row>
    <row r="81" spans="2:8" x14ac:dyDescent="0.2">
      <c r="B81" s="233">
        <v>59</v>
      </c>
      <c r="C81" s="317">
        <f t="shared" si="4"/>
        <v>0</v>
      </c>
      <c r="D81" s="315">
        <f t="shared" si="0"/>
        <v>0</v>
      </c>
      <c r="E81" s="315">
        <f t="shared" si="1"/>
        <v>0</v>
      </c>
      <c r="F81" s="315">
        <f t="shared" si="2"/>
        <v>0</v>
      </c>
      <c r="G81" s="315">
        <f t="shared" si="3"/>
        <v>0</v>
      </c>
      <c r="H81" s="231"/>
    </row>
    <row r="82" spans="2:8" x14ac:dyDescent="0.2">
      <c r="B82" s="233">
        <v>60</v>
      </c>
      <c r="C82" s="317">
        <f t="shared" si="4"/>
        <v>0</v>
      </c>
      <c r="D82" s="315">
        <f t="shared" si="0"/>
        <v>0</v>
      </c>
      <c r="E82" s="315">
        <f t="shared" si="1"/>
        <v>0</v>
      </c>
      <c r="F82" s="315">
        <f t="shared" si="2"/>
        <v>0</v>
      </c>
      <c r="G82" s="315">
        <f t="shared" si="3"/>
        <v>0</v>
      </c>
      <c r="H82" s="231"/>
    </row>
    <row r="83" spans="2:8" x14ac:dyDescent="0.2">
      <c r="B83" s="233">
        <v>61</v>
      </c>
      <c r="C83" s="317">
        <f t="shared" si="4"/>
        <v>0</v>
      </c>
      <c r="D83" s="315">
        <f t="shared" si="0"/>
        <v>0</v>
      </c>
      <c r="E83" s="315">
        <f t="shared" si="1"/>
        <v>0</v>
      </c>
      <c r="F83" s="315">
        <f t="shared" si="2"/>
        <v>0</v>
      </c>
      <c r="G83" s="315">
        <f t="shared" si="3"/>
        <v>0</v>
      </c>
      <c r="H83" s="231"/>
    </row>
    <row r="84" spans="2:8" x14ac:dyDescent="0.2">
      <c r="B84" s="233">
        <v>62</v>
      </c>
      <c r="C84" s="317">
        <f t="shared" si="4"/>
        <v>0</v>
      </c>
      <c r="D84" s="315">
        <f t="shared" si="0"/>
        <v>0</v>
      </c>
      <c r="E84" s="315">
        <f t="shared" si="1"/>
        <v>0</v>
      </c>
      <c r="F84" s="315">
        <f t="shared" si="2"/>
        <v>0</v>
      </c>
      <c r="G84" s="315">
        <f t="shared" si="3"/>
        <v>0</v>
      </c>
      <c r="H84" s="231"/>
    </row>
    <row r="85" spans="2:8" x14ac:dyDescent="0.2">
      <c r="B85" s="233">
        <v>63</v>
      </c>
      <c r="C85" s="317">
        <f t="shared" si="4"/>
        <v>0</v>
      </c>
      <c r="D85" s="315">
        <f t="shared" si="0"/>
        <v>0</v>
      </c>
      <c r="E85" s="315">
        <f t="shared" si="1"/>
        <v>0</v>
      </c>
      <c r="F85" s="315">
        <f t="shared" si="2"/>
        <v>0</v>
      </c>
      <c r="G85" s="315">
        <f t="shared" si="3"/>
        <v>0</v>
      </c>
      <c r="H85" s="231"/>
    </row>
    <row r="86" spans="2:8" x14ac:dyDescent="0.2">
      <c r="B86" s="233">
        <v>64</v>
      </c>
      <c r="C86" s="317">
        <f t="shared" si="4"/>
        <v>0</v>
      </c>
      <c r="D86" s="315">
        <f t="shared" si="0"/>
        <v>0</v>
      </c>
      <c r="E86" s="315">
        <f t="shared" si="1"/>
        <v>0</v>
      </c>
      <c r="F86" s="315">
        <f t="shared" si="2"/>
        <v>0</v>
      </c>
      <c r="G86" s="315">
        <f t="shared" si="3"/>
        <v>0</v>
      </c>
      <c r="H86" s="231"/>
    </row>
    <row r="87" spans="2:8" x14ac:dyDescent="0.2">
      <c r="B87" s="233">
        <v>65</v>
      </c>
      <c r="C87" s="317">
        <f t="shared" si="4"/>
        <v>0</v>
      </c>
      <c r="D87" s="315">
        <f t="shared" si="0"/>
        <v>0</v>
      </c>
      <c r="E87" s="315">
        <f t="shared" si="1"/>
        <v>0</v>
      </c>
      <c r="F87" s="315">
        <f t="shared" si="2"/>
        <v>0</v>
      </c>
      <c r="G87" s="315">
        <f t="shared" si="3"/>
        <v>0</v>
      </c>
      <c r="H87" s="231"/>
    </row>
    <row r="88" spans="2:8" x14ac:dyDescent="0.2">
      <c r="B88" s="233">
        <v>66</v>
      </c>
      <c r="C88" s="317">
        <f t="shared" si="4"/>
        <v>0</v>
      </c>
      <c r="D88" s="315">
        <f t="shared" ref="D88:D142" si="5">IF(((IF($B88&lt;=$C$17,(CHOOSE($N$9,IF(B88&lt;=$C$15,F88,-PMT($C$9/$C$16,$C$17-$C$15,$C$8)),-PMT($C$9/$C$16,$C$17,$C$8))),0))&lt;1),0,(IF($B88&lt;=$C$17,(CHOOSE($N$9,IF(B88&lt;=$C$15,F88,-PMT($C$9/$C$16,$C$17-$C$15,$C$8)),-PMT($C$9/$C$16,$C$17,$C$8))),0)))</f>
        <v>0</v>
      </c>
      <c r="E88" s="315">
        <f t="shared" ref="E88:E142" si="6">IF(((D88-F88)&lt;1),0,(D88-F88))</f>
        <v>0</v>
      </c>
      <c r="F88" s="315">
        <f t="shared" ref="F88:F142" si="7">IF((C88*$C$9/$C$16)&lt;1,0,(C88*$C$9/$C$16))</f>
        <v>0</v>
      </c>
      <c r="G88" s="315">
        <f t="shared" ref="G88:G142" si="8">IF((C88-E88)&lt;1,0,(C88-E88))</f>
        <v>0</v>
      </c>
      <c r="H88" s="231"/>
    </row>
    <row r="89" spans="2:8" x14ac:dyDescent="0.2">
      <c r="B89" s="233">
        <v>67</v>
      </c>
      <c r="C89" s="317">
        <f t="shared" ref="C89:C142" si="9">G88</f>
        <v>0</v>
      </c>
      <c r="D89" s="315">
        <f t="shared" si="5"/>
        <v>0</v>
      </c>
      <c r="E89" s="315">
        <f t="shared" si="6"/>
        <v>0</v>
      </c>
      <c r="F89" s="315">
        <f t="shared" si="7"/>
        <v>0</v>
      </c>
      <c r="G89" s="315">
        <f t="shared" si="8"/>
        <v>0</v>
      </c>
      <c r="H89" s="231"/>
    </row>
    <row r="90" spans="2:8" x14ac:dyDescent="0.2">
      <c r="B90" s="233">
        <v>68</v>
      </c>
      <c r="C90" s="317">
        <f t="shared" si="9"/>
        <v>0</v>
      </c>
      <c r="D90" s="315">
        <f t="shared" si="5"/>
        <v>0</v>
      </c>
      <c r="E90" s="315">
        <f t="shared" si="6"/>
        <v>0</v>
      </c>
      <c r="F90" s="315">
        <f t="shared" si="7"/>
        <v>0</v>
      </c>
      <c r="G90" s="315">
        <f t="shared" si="8"/>
        <v>0</v>
      </c>
      <c r="H90" s="231"/>
    </row>
    <row r="91" spans="2:8" x14ac:dyDescent="0.2">
      <c r="B91" s="233">
        <v>69</v>
      </c>
      <c r="C91" s="317">
        <f t="shared" si="9"/>
        <v>0</v>
      </c>
      <c r="D91" s="315">
        <f t="shared" si="5"/>
        <v>0</v>
      </c>
      <c r="E91" s="315">
        <f t="shared" si="6"/>
        <v>0</v>
      </c>
      <c r="F91" s="315">
        <f t="shared" si="7"/>
        <v>0</v>
      </c>
      <c r="G91" s="315">
        <f t="shared" si="8"/>
        <v>0</v>
      </c>
      <c r="H91" s="231"/>
    </row>
    <row r="92" spans="2:8" x14ac:dyDescent="0.2">
      <c r="B92" s="233">
        <v>70</v>
      </c>
      <c r="C92" s="317">
        <f t="shared" si="9"/>
        <v>0</v>
      </c>
      <c r="D92" s="315">
        <f t="shared" si="5"/>
        <v>0</v>
      </c>
      <c r="E92" s="315">
        <f t="shared" si="6"/>
        <v>0</v>
      </c>
      <c r="F92" s="315">
        <f t="shared" si="7"/>
        <v>0</v>
      </c>
      <c r="G92" s="315">
        <f t="shared" si="8"/>
        <v>0</v>
      </c>
      <c r="H92" s="231"/>
    </row>
    <row r="93" spans="2:8" x14ac:dyDescent="0.2">
      <c r="B93" s="233">
        <v>71</v>
      </c>
      <c r="C93" s="317">
        <f t="shared" si="9"/>
        <v>0</v>
      </c>
      <c r="D93" s="315">
        <f t="shared" si="5"/>
        <v>0</v>
      </c>
      <c r="E93" s="315">
        <f t="shared" si="6"/>
        <v>0</v>
      </c>
      <c r="F93" s="315">
        <f t="shared" si="7"/>
        <v>0</v>
      </c>
      <c r="G93" s="315">
        <f t="shared" si="8"/>
        <v>0</v>
      </c>
      <c r="H93" s="231"/>
    </row>
    <row r="94" spans="2:8" x14ac:dyDescent="0.2">
      <c r="B94" s="233">
        <v>72</v>
      </c>
      <c r="C94" s="317">
        <f t="shared" si="9"/>
        <v>0</v>
      </c>
      <c r="D94" s="315">
        <f t="shared" si="5"/>
        <v>0</v>
      </c>
      <c r="E94" s="315">
        <f t="shared" si="6"/>
        <v>0</v>
      </c>
      <c r="F94" s="315">
        <f t="shared" si="7"/>
        <v>0</v>
      </c>
      <c r="G94" s="315">
        <f t="shared" si="8"/>
        <v>0</v>
      </c>
      <c r="H94" s="231"/>
    </row>
    <row r="95" spans="2:8" x14ac:dyDescent="0.2">
      <c r="B95" s="233">
        <v>73</v>
      </c>
      <c r="C95" s="317">
        <f t="shared" si="9"/>
        <v>0</v>
      </c>
      <c r="D95" s="315">
        <f t="shared" si="5"/>
        <v>0</v>
      </c>
      <c r="E95" s="315">
        <f t="shared" si="6"/>
        <v>0</v>
      </c>
      <c r="F95" s="315">
        <f t="shared" si="7"/>
        <v>0</v>
      </c>
      <c r="G95" s="315">
        <f t="shared" si="8"/>
        <v>0</v>
      </c>
      <c r="H95" s="231"/>
    </row>
    <row r="96" spans="2:8" x14ac:dyDescent="0.2">
      <c r="B96" s="233">
        <v>74</v>
      </c>
      <c r="C96" s="317">
        <f t="shared" si="9"/>
        <v>0</v>
      </c>
      <c r="D96" s="315">
        <f t="shared" si="5"/>
        <v>0</v>
      </c>
      <c r="E96" s="315">
        <f t="shared" si="6"/>
        <v>0</v>
      </c>
      <c r="F96" s="315">
        <f t="shared" si="7"/>
        <v>0</v>
      </c>
      <c r="G96" s="315">
        <f t="shared" si="8"/>
        <v>0</v>
      </c>
      <c r="H96" s="231"/>
    </row>
    <row r="97" spans="2:8" x14ac:dyDescent="0.2">
      <c r="B97" s="233">
        <v>75</v>
      </c>
      <c r="C97" s="317">
        <f t="shared" si="9"/>
        <v>0</v>
      </c>
      <c r="D97" s="315">
        <f t="shared" si="5"/>
        <v>0</v>
      </c>
      <c r="E97" s="315">
        <f t="shared" si="6"/>
        <v>0</v>
      </c>
      <c r="F97" s="315">
        <f t="shared" si="7"/>
        <v>0</v>
      </c>
      <c r="G97" s="315">
        <f t="shared" si="8"/>
        <v>0</v>
      </c>
      <c r="H97" s="231"/>
    </row>
    <row r="98" spans="2:8" x14ac:dyDescent="0.2">
      <c r="B98" s="233">
        <v>76</v>
      </c>
      <c r="C98" s="317">
        <f t="shared" si="9"/>
        <v>0</v>
      </c>
      <c r="D98" s="315">
        <f t="shared" si="5"/>
        <v>0</v>
      </c>
      <c r="E98" s="315">
        <f t="shared" si="6"/>
        <v>0</v>
      </c>
      <c r="F98" s="315">
        <f t="shared" si="7"/>
        <v>0</v>
      </c>
      <c r="G98" s="315">
        <f t="shared" si="8"/>
        <v>0</v>
      </c>
      <c r="H98" s="231"/>
    </row>
    <row r="99" spans="2:8" x14ac:dyDescent="0.2">
      <c r="B99" s="233">
        <v>77</v>
      </c>
      <c r="C99" s="317">
        <f t="shared" si="9"/>
        <v>0</v>
      </c>
      <c r="D99" s="315">
        <f t="shared" si="5"/>
        <v>0</v>
      </c>
      <c r="E99" s="315">
        <f t="shared" si="6"/>
        <v>0</v>
      </c>
      <c r="F99" s="315">
        <f t="shared" si="7"/>
        <v>0</v>
      </c>
      <c r="G99" s="315">
        <f t="shared" si="8"/>
        <v>0</v>
      </c>
      <c r="H99" s="231"/>
    </row>
    <row r="100" spans="2:8" x14ac:dyDescent="0.2">
      <c r="B100" s="233">
        <v>78</v>
      </c>
      <c r="C100" s="317">
        <f t="shared" si="9"/>
        <v>0</v>
      </c>
      <c r="D100" s="315">
        <f t="shared" si="5"/>
        <v>0</v>
      </c>
      <c r="E100" s="315">
        <f t="shared" si="6"/>
        <v>0</v>
      </c>
      <c r="F100" s="315">
        <f t="shared" si="7"/>
        <v>0</v>
      </c>
      <c r="G100" s="315">
        <f t="shared" si="8"/>
        <v>0</v>
      </c>
      <c r="H100" s="231"/>
    </row>
    <row r="101" spans="2:8" x14ac:dyDescent="0.2">
      <c r="B101" s="233">
        <v>79</v>
      </c>
      <c r="C101" s="317">
        <f t="shared" si="9"/>
        <v>0</v>
      </c>
      <c r="D101" s="315">
        <f t="shared" si="5"/>
        <v>0</v>
      </c>
      <c r="E101" s="315">
        <f t="shared" si="6"/>
        <v>0</v>
      </c>
      <c r="F101" s="315">
        <f t="shared" si="7"/>
        <v>0</v>
      </c>
      <c r="G101" s="315">
        <f t="shared" si="8"/>
        <v>0</v>
      </c>
      <c r="H101" s="231"/>
    </row>
    <row r="102" spans="2:8" x14ac:dyDescent="0.2">
      <c r="B102" s="233">
        <v>80</v>
      </c>
      <c r="C102" s="317">
        <f t="shared" si="9"/>
        <v>0</v>
      </c>
      <c r="D102" s="315">
        <f t="shared" si="5"/>
        <v>0</v>
      </c>
      <c r="E102" s="315">
        <f t="shared" si="6"/>
        <v>0</v>
      </c>
      <c r="F102" s="315">
        <f t="shared" si="7"/>
        <v>0</v>
      </c>
      <c r="G102" s="315">
        <f t="shared" si="8"/>
        <v>0</v>
      </c>
      <c r="H102" s="231"/>
    </row>
    <row r="103" spans="2:8" x14ac:dyDescent="0.2">
      <c r="B103" s="233">
        <v>81</v>
      </c>
      <c r="C103" s="317">
        <f t="shared" si="9"/>
        <v>0</v>
      </c>
      <c r="D103" s="315">
        <f t="shared" si="5"/>
        <v>0</v>
      </c>
      <c r="E103" s="315">
        <f t="shared" si="6"/>
        <v>0</v>
      </c>
      <c r="F103" s="315">
        <f t="shared" si="7"/>
        <v>0</v>
      </c>
      <c r="G103" s="315">
        <f t="shared" si="8"/>
        <v>0</v>
      </c>
      <c r="H103" s="231"/>
    </row>
    <row r="104" spans="2:8" x14ac:dyDescent="0.2">
      <c r="B104" s="233">
        <v>82</v>
      </c>
      <c r="C104" s="317">
        <f t="shared" si="9"/>
        <v>0</v>
      </c>
      <c r="D104" s="315">
        <f t="shared" si="5"/>
        <v>0</v>
      </c>
      <c r="E104" s="315">
        <f t="shared" si="6"/>
        <v>0</v>
      </c>
      <c r="F104" s="315">
        <f t="shared" si="7"/>
        <v>0</v>
      </c>
      <c r="G104" s="315">
        <f t="shared" si="8"/>
        <v>0</v>
      </c>
      <c r="H104" s="231"/>
    </row>
    <row r="105" spans="2:8" x14ac:dyDescent="0.2">
      <c r="B105" s="233">
        <v>83</v>
      </c>
      <c r="C105" s="317">
        <f t="shared" si="9"/>
        <v>0</v>
      </c>
      <c r="D105" s="315">
        <f t="shared" si="5"/>
        <v>0</v>
      </c>
      <c r="E105" s="315">
        <f t="shared" si="6"/>
        <v>0</v>
      </c>
      <c r="F105" s="315">
        <f t="shared" si="7"/>
        <v>0</v>
      </c>
      <c r="G105" s="315">
        <f t="shared" si="8"/>
        <v>0</v>
      </c>
      <c r="H105" s="231"/>
    </row>
    <row r="106" spans="2:8" x14ac:dyDescent="0.2">
      <c r="B106" s="233">
        <v>84</v>
      </c>
      <c r="C106" s="317">
        <f t="shared" si="9"/>
        <v>0</v>
      </c>
      <c r="D106" s="315">
        <f t="shared" si="5"/>
        <v>0</v>
      </c>
      <c r="E106" s="315">
        <f t="shared" si="6"/>
        <v>0</v>
      </c>
      <c r="F106" s="315">
        <f t="shared" si="7"/>
        <v>0</v>
      </c>
      <c r="G106" s="315">
        <f t="shared" si="8"/>
        <v>0</v>
      </c>
      <c r="H106" s="231"/>
    </row>
    <row r="107" spans="2:8" x14ac:dyDescent="0.2">
      <c r="B107" s="233">
        <v>85</v>
      </c>
      <c r="C107" s="317">
        <f t="shared" si="9"/>
        <v>0</v>
      </c>
      <c r="D107" s="315">
        <f t="shared" si="5"/>
        <v>0</v>
      </c>
      <c r="E107" s="315">
        <f t="shared" si="6"/>
        <v>0</v>
      </c>
      <c r="F107" s="315">
        <f t="shared" si="7"/>
        <v>0</v>
      </c>
      <c r="G107" s="315">
        <f t="shared" si="8"/>
        <v>0</v>
      </c>
      <c r="H107" s="231"/>
    </row>
    <row r="108" spans="2:8" x14ac:dyDescent="0.2">
      <c r="B108" s="233">
        <v>86</v>
      </c>
      <c r="C108" s="317">
        <f t="shared" si="9"/>
        <v>0</v>
      </c>
      <c r="D108" s="315">
        <f t="shared" si="5"/>
        <v>0</v>
      </c>
      <c r="E108" s="315">
        <f t="shared" si="6"/>
        <v>0</v>
      </c>
      <c r="F108" s="315">
        <f t="shared" si="7"/>
        <v>0</v>
      </c>
      <c r="G108" s="315">
        <f t="shared" si="8"/>
        <v>0</v>
      </c>
      <c r="H108" s="231"/>
    </row>
    <row r="109" spans="2:8" x14ac:dyDescent="0.2">
      <c r="B109" s="233">
        <v>87</v>
      </c>
      <c r="C109" s="317">
        <f t="shared" si="9"/>
        <v>0</v>
      </c>
      <c r="D109" s="315">
        <f t="shared" si="5"/>
        <v>0</v>
      </c>
      <c r="E109" s="315">
        <f t="shared" si="6"/>
        <v>0</v>
      </c>
      <c r="F109" s="315">
        <f t="shared" si="7"/>
        <v>0</v>
      </c>
      <c r="G109" s="315">
        <f t="shared" si="8"/>
        <v>0</v>
      </c>
      <c r="H109" s="231"/>
    </row>
    <row r="110" spans="2:8" x14ac:dyDescent="0.2">
      <c r="B110" s="233">
        <v>88</v>
      </c>
      <c r="C110" s="317">
        <f t="shared" si="9"/>
        <v>0</v>
      </c>
      <c r="D110" s="315">
        <f t="shared" si="5"/>
        <v>0</v>
      </c>
      <c r="E110" s="315">
        <f t="shared" si="6"/>
        <v>0</v>
      </c>
      <c r="F110" s="315">
        <f t="shared" si="7"/>
        <v>0</v>
      </c>
      <c r="G110" s="315">
        <f t="shared" si="8"/>
        <v>0</v>
      </c>
      <c r="H110" s="231"/>
    </row>
    <row r="111" spans="2:8" x14ac:dyDescent="0.2">
      <c r="B111" s="233">
        <v>89</v>
      </c>
      <c r="C111" s="317">
        <f t="shared" si="9"/>
        <v>0</v>
      </c>
      <c r="D111" s="315">
        <f t="shared" si="5"/>
        <v>0</v>
      </c>
      <c r="E111" s="315">
        <f t="shared" si="6"/>
        <v>0</v>
      </c>
      <c r="F111" s="315">
        <f t="shared" si="7"/>
        <v>0</v>
      </c>
      <c r="G111" s="315">
        <f t="shared" si="8"/>
        <v>0</v>
      </c>
      <c r="H111" s="231"/>
    </row>
    <row r="112" spans="2:8" x14ac:dyDescent="0.2">
      <c r="B112" s="233">
        <v>90</v>
      </c>
      <c r="C112" s="317">
        <f t="shared" si="9"/>
        <v>0</v>
      </c>
      <c r="D112" s="315">
        <f t="shared" si="5"/>
        <v>0</v>
      </c>
      <c r="E112" s="315">
        <f t="shared" si="6"/>
        <v>0</v>
      </c>
      <c r="F112" s="315">
        <f t="shared" si="7"/>
        <v>0</v>
      </c>
      <c r="G112" s="315">
        <f t="shared" si="8"/>
        <v>0</v>
      </c>
      <c r="H112" s="231"/>
    </row>
    <row r="113" spans="2:8" x14ac:dyDescent="0.2">
      <c r="B113" s="233">
        <v>91</v>
      </c>
      <c r="C113" s="317">
        <f t="shared" si="9"/>
        <v>0</v>
      </c>
      <c r="D113" s="315">
        <f t="shared" si="5"/>
        <v>0</v>
      </c>
      <c r="E113" s="315">
        <f t="shared" si="6"/>
        <v>0</v>
      </c>
      <c r="F113" s="315">
        <f t="shared" si="7"/>
        <v>0</v>
      </c>
      <c r="G113" s="315">
        <f t="shared" si="8"/>
        <v>0</v>
      </c>
      <c r="H113" s="231"/>
    </row>
    <row r="114" spans="2:8" x14ac:dyDescent="0.2">
      <c r="B114" s="233">
        <v>92</v>
      </c>
      <c r="C114" s="317">
        <f t="shared" si="9"/>
        <v>0</v>
      </c>
      <c r="D114" s="315">
        <f t="shared" si="5"/>
        <v>0</v>
      </c>
      <c r="E114" s="315">
        <f t="shared" si="6"/>
        <v>0</v>
      </c>
      <c r="F114" s="315">
        <f t="shared" si="7"/>
        <v>0</v>
      </c>
      <c r="G114" s="315">
        <f t="shared" si="8"/>
        <v>0</v>
      </c>
      <c r="H114" s="231"/>
    </row>
    <row r="115" spans="2:8" x14ac:dyDescent="0.2">
      <c r="B115" s="233">
        <v>93</v>
      </c>
      <c r="C115" s="317">
        <f t="shared" si="9"/>
        <v>0</v>
      </c>
      <c r="D115" s="315">
        <f t="shared" si="5"/>
        <v>0</v>
      </c>
      <c r="E115" s="315">
        <f t="shared" si="6"/>
        <v>0</v>
      </c>
      <c r="F115" s="315">
        <f t="shared" si="7"/>
        <v>0</v>
      </c>
      <c r="G115" s="315">
        <f t="shared" si="8"/>
        <v>0</v>
      </c>
      <c r="H115" s="231"/>
    </row>
    <row r="116" spans="2:8" x14ac:dyDescent="0.2">
      <c r="B116" s="233">
        <v>94</v>
      </c>
      <c r="C116" s="317">
        <f t="shared" si="9"/>
        <v>0</v>
      </c>
      <c r="D116" s="315">
        <f t="shared" si="5"/>
        <v>0</v>
      </c>
      <c r="E116" s="315">
        <f t="shared" si="6"/>
        <v>0</v>
      </c>
      <c r="F116" s="315">
        <f t="shared" si="7"/>
        <v>0</v>
      </c>
      <c r="G116" s="315">
        <f t="shared" si="8"/>
        <v>0</v>
      </c>
      <c r="H116" s="231"/>
    </row>
    <row r="117" spans="2:8" x14ac:dyDescent="0.2">
      <c r="B117" s="233">
        <v>95</v>
      </c>
      <c r="C117" s="317">
        <f t="shared" si="9"/>
        <v>0</v>
      </c>
      <c r="D117" s="315">
        <f t="shared" si="5"/>
        <v>0</v>
      </c>
      <c r="E117" s="315">
        <f t="shared" si="6"/>
        <v>0</v>
      </c>
      <c r="F117" s="315">
        <f t="shared" si="7"/>
        <v>0</v>
      </c>
      <c r="G117" s="315">
        <f t="shared" si="8"/>
        <v>0</v>
      </c>
      <c r="H117" s="231"/>
    </row>
    <row r="118" spans="2:8" x14ac:dyDescent="0.2">
      <c r="B118" s="233">
        <v>96</v>
      </c>
      <c r="C118" s="317">
        <f t="shared" si="9"/>
        <v>0</v>
      </c>
      <c r="D118" s="315">
        <f t="shared" si="5"/>
        <v>0</v>
      </c>
      <c r="E118" s="315">
        <f t="shared" si="6"/>
        <v>0</v>
      </c>
      <c r="F118" s="315">
        <f t="shared" si="7"/>
        <v>0</v>
      </c>
      <c r="G118" s="315">
        <f t="shared" si="8"/>
        <v>0</v>
      </c>
      <c r="H118" s="231"/>
    </row>
    <row r="119" spans="2:8" x14ac:dyDescent="0.2">
      <c r="B119" s="233">
        <v>97</v>
      </c>
      <c r="C119" s="317">
        <f t="shared" si="9"/>
        <v>0</v>
      </c>
      <c r="D119" s="315">
        <f t="shared" si="5"/>
        <v>0</v>
      </c>
      <c r="E119" s="315">
        <f t="shared" si="6"/>
        <v>0</v>
      </c>
      <c r="F119" s="315">
        <f t="shared" si="7"/>
        <v>0</v>
      </c>
      <c r="G119" s="315">
        <f t="shared" si="8"/>
        <v>0</v>
      </c>
      <c r="H119" s="231"/>
    </row>
    <row r="120" spans="2:8" x14ac:dyDescent="0.2">
      <c r="B120" s="233">
        <v>98</v>
      </c>
      <c r="C120" s="317">
        <f t="shared" si="9"/>
        <v>0</v>
      </c>
      <c r="D120" s="315">
        <f t="shared" si="5"/>
        <v>0</v>
      </c>
      <c r="E120" s="315">
        <f t="shared" si="6"/>
        <v>0</v>
      </c>
      <c r="F120" s="315">
        <f t="shared" si="7"/>
        <v>0</v>
      </c>
      <c r="G120" s="315">
        <f t="shared" si="8"/>
        <v>0</v>
      </c>
      <c r="H120" s="231"/>
    </row>
    <row r="121" spans="2:8" x14ac:dyDescent="0.2">
      <c r="B121" s="233">
        <v>99</v>
      </c>
      <c r="C121" s="317">
        <f t="shared" si="9"/>
        <v>0</v>
      </c>
      <c r="D121" s="315">
        <f t="shared" si="5"/>
        <v>0</v>
      </c>
      <c r="E121" s="315">
        <f t="shared" si="6"/>
        <v>0</v>
      </c>
      <c r="F121" s="315">
        <f t="shared" si="7"/>
        <v>0</v>
      </c>
      <c r="G121" s="315">
        <f t="shared" si="8"/>
        <v>0</v>
      </c>
      <c r="H121" s="231"/>
    </row>
    <row r="122" spans="2:8" x14ac:dyDescent="0.2">
      <c r="B122" s="233">
        <v>100</v>
      </c>
      <c r="C122" s="317">
        <f t="shared" si="9"/>
        <v>0</v>
      </c>
      <c r="D122" s="315">
        <f t="shared" si="5"/>
        <v>0</v>
      </c>
      <c r="E122" s="315">
        <f t="shared" si="6"/>
        <v>0</v>
      </c>
      <c r="F122" s="315">
        <f t="shared" si="7"/>
        <v>0</v>
      </c>
      <c r="G122" s="315">
        <f t="shared" si="8"/>
        <v>0</v>
      </c>
      <c r="H122" s="231"/>
    </row>
    <row r="123" spans="2:8" x14ac:dyDescent="0.2">
      <c r="B123" s="233">
        <v>101</v>
      </c>
      <c r="C123" s="317">
        <f t="shared" si="9"/>
        <v>0</v>
      </c>
      <c r="D123" s="315">
        <f t="shared" si="5"/>
        <v>0</v>
      </c>
      <c r="E123" s="315">
        <f t="shared" si="6"/>
        <v>0</v>
      </c>
      <c r="F123" s="315">
        <f t="shared" si="7"/>
        <v>0</v>
      </c>
      <c r="G123" s="315">
        <f t="shared" si="8"/>
        <v>0</v>
      </c>
      <c r="H123" s="231"/>
    </row>
    <row r="124" spans="2:8" x14ac:dyDescent="0.2">
      <c r="B124" s="233">
        <v>102</v>
      </c>
      <c r="C124" s="317">
        <f t="shared" si="9"/>
        <v>0</v>
      </c>
      <c r="D124" s="315">
        <f t="shared" si="5"/>
        <v>0</v>
      </c>
      <c r="E124" s="315">
        <f t="shared" si="6"/>
        <v>0</v>
      </c>
      <c r="F124" s="315">
        <f t="shared" si="7"/>
        <v>0</v>
      </c>
      <c r="G124" s="315">
        <f t="shared" si="8"/>
        <v>0</v>
      </c>
      <c r="H124" s="231"/>
    </row>
    <row r="125" spans="2:8" x14ac:dyDescent="0.2">
      <c r="B125" s="233">
        <v>103</v>
      </c>
      <c r="C125" s="317">
        <f t="shared" si="9"/>
        <v>0</v>
      </c>
      <c r="D125" s="315">
        <f t="shared" si="5"/>
        <v>0</v>
      </c>
      <c r="E125" s="315">
        <f t="shared" si="6"/>
        <v>0</v>
      </c>
      <c r="F125" s="315">
        <f t="shared" si="7"/>
        <v>0</v>
      </c>
      <c r="G125" s="315">
        <f t="shared" si="8"/>
        <v>0</v>
      </c>
      <c r="H125" s="231"/>
    </row>
    <row r="126" spans="2:8" x14ac:dyDescent="0.2">
      <c r="B126" s="233">
        <v>104</v>
      </c>
      <c r="C126" s="317">
        <f t="shared" si="9"/>
        <v>0</v>
      </c>
      <c r="D126" s="315">
        <f t="shared" si="5"/>
        <v>0</v>
      </c>
      <c r="E126" s="315">
        <f t="shared" si="6"/>
        <v>0</v>
      </c>
      <c r="F126" s="315">
        <f t="shared" si="7"/>
        <v>0</v>
      </c>
      <c r="G126" s="315">
        <f t="shared" si="8"/>
        <v>0</v>
      </c>
      <c r="H126" s="231"/>
    </row>
    <row r="127" spans="2:8" x14ac:dyDescent="0.2">
      <c r="B127" s="233">
        <v>105</v>
      </c>
      <c r="C127" s="317">
        <f t="shared" si="9"/>
        <v>0</v>
      </c>
      <c r="D127" s="315">
        <f t="shared" si="5"/>
        <v>0</v>
      </c>
      <c r="E127" s="315">
        <f t="shared" si="6"/>
        <v>0</v>
      </c>
      <c r="F127" s="315">
        <f t="shared" si="7"/>
        <v>0</v>
      </c>
      <c r="G127" s="315">
        <f t="shared" si="8"/>
        <v>0</v>
      </c>
      <c r="H127" s="231"/>
    </row>
    <row r="128" spans="2:8" x14ac:dyDescent="0.2">
      <c r="B128" s="233">
        <v>106</v>
      </c>
      <c r="C128" s="317">
        <f t="shared" si="9"/>
        <v>0</v>
      </c>
      <c r="D128" s="315">
        <f t="shared" si="5"/>
        <v>0</v>
      </c>
      <c r="E128" s="315">
        <f t="shared" si="6"/>
        <v>0</v>
      </c>
      <c r="F128" s="315">
        <f t="shared" si="7"/>
        <v>0</v>
      </c>
      <c r="G128" s="315">
        <f t="shared" si="8"/>
        <v>0</v>
      </c>
      <c r="H128" s="231"/>
    </row>
    <row r="129" spans="2:8" x14ac:dyDescent="0.2">
      <c r="B129" s="233">
        <v>107</v>
      </c>
      <c r="C129" s="317">
        <f t="shared" si="9"/>
        <v>0</v>
      </c>
      <c r="D129" s="315">
        <f t="shared" si="5"/>
        <v>0</v>
      </c>
      <c r="E129" s="315">
        <f t="shared" si="6"/>
        <v>0</v>
      </c>
      <c r="F129" s="315">
        <f t="shared" si="7"/>
        <v>0</v>
      </c>
      <c r="G129" s="315">
        <f t="shared" si="8"/>
        <v>0</v>
      </c>
      <c r="H129" s="231"/>
    </row>
    <row r="130" spans="2:8" x14ac:dyDescent="0.2">
      <c r="B130" s="233">
        <v>108</v>
      </c>
      <c r="C130" s="317">
        <f t="shared" si="9"/>
        <v>0</v>
      </c>
      <c r="D130" s="315">
        <f t="shared" si="5"/>
        <v>0</v>
      </c>
      <c r="E130" s="315">
        <f t="shared" si="6"/>
        <v>0</v>
      </c>
      <c r="F130" s="315">
        <f t="shared" si="7"/>
        <v>0</v>
      </c>
      <c r="G130" s="315">
        <f t="shared" si="8"/>
        <v>0</v>
      </c>
      <c r="H130" s="231"/>
    </row>
    <row r="131" spans="2:8" x14ac:dyDescent="0.2">
      <c r="B131" s="233">
        <v>109</v>
      </c>
      <c r="C131" s="317">
        <f t="shared" si="9"/>
        <v>0</v>
      </c>
      <c r="D131" s="315">
        <f t="shared" si="5"/>
        <v>0</v>
      </c>
      <c r="E131" s="315">
        <f t="shared" si="6"/>
        <v>0</v>
      </c>
      <c r="F131" s="315">
        <f t="shared" si="7"/>
        <v>0</v>
      </c>
      <c r="G131" s="315">
        <f t="shared" si="8"/>
        <v>0</v>
      </c>
      <c r="H131" s="231"/>
    </row>
    <row r="132" spans="2:8" x14ac:dyDescent="0.2">
      <c r="B132" s="233">
        <v>110</v>
      </c>
      <c r="C132" s="317">
        <f t="shared" si="9"/>
        <v>0</v>
      </c>
      <c r="D132" s="315">
        <f t="shared" si="5"/>
        <v>0</v>
      </c>
      <c r="E132" s="315">
        <f t="shared" si="6"/>
        <v>0</v>
      </c>
      <c r="F132" s="315">
        <f t="shared" si="7"/>
        <v>0</v>
      </c>
      <c r="G132" s="315">
        <f t="shared" si="8"/>
        <v>0</v>
      </c>
      <c r="H132" s="231"/>
    </row>
    <row r="133" spans="2:8" x14ac:dyDescent="0.2">
      <c r="B133" s="233">
        <v>111</v>
      </c>
      <c r="C133" s="317">
        <f t="shared" si="9"/>
        <v>0</v>
      </c>
      <c r="D133" s="315">
        <f t="shared" si="5"/>
        <v>0</v>
      </c>
      <c r="E133" s="315">
        <f t="shared" si="6"/>
        <v>0</v>
      </c>
      <c r="F133" s="315">
        <f t="shared" si="7"/>
        <v>0</v>
      </c>
      <c r="G133" s="315">
        <f t="shared" si="8"/>
        <v>0</v>
      </c>
      <c r="H133" s="231"/>
    </row>
    <row r="134" spans="2:8" x14ac:dyDescent="0.2">
      <c r="B134" s="233">
        <v>112</v>
      </c>
      <c r="C134" s="317">
        <f t="shared" si="9"/>
        <v>0</v>
      </c>
      <c r="D134" s="315">
        <f t="shared" si="5"/>
        <v>0</v>
      </c>
      <c r="E134" s="315">
        <f t="shared" si="6"/>
        <v>0</v>
      </c>
      <c r="F134" s="315">
        <f t="shared" si="7"/>
        <v>0</v>
      </c>
      <c r="G134" s="315">
        <f t="shared" si="8"/>
        <v>0</v>
      </c>
      <c r="H134" s="231"/>
    </row>
    <row r="135" spans="2:8" x14ac:dyDescent="0.2">
      <c r="B135" s="233">
        <v>113</v>
      </c>
      <c r="C135" s="317">
        <f t="shared" si="9"/>
        <v>0</v>
      </c>
      <c r="D135" s="315">
        <f t="shared" si="5"/>
        <v>0</v>
      </c>
      <c r="E135" s="315">
        <f t="shared" si="6"/>
        <v>0</v>
      </c>
      <c r="F135" s="315">
        <f t="shared" si="7"/>
        <v>0</v>
      </c>
      <c r="G135" s="315">
        <f t="shared" si="8"/>
        <v>0</v>
      </c>
      <c r="H135" s="231"/>
    </row>
    <row r="136" spans="2:8" x14ac:dyDescent="0.2">
      <c r="B136" s="233">
        <v>114</v>
      </c>
      <c r="C136" s="317">
        <f t="shared" si="9"/>
        <v>0</v>
      </c>
      <c r="D136" s="315">
        <f t="shared" si="5"/>
        <v>0</v>
      </c>
      <c r="E136" s="315">
        <f t="shared" si="6"/>
        <v>0</v>
      </c>
      <c r="F136" s="315">
        <f t="shared" si="7"/>
        <v>0</v>
      </c>
      <c r="G136" s="315">
        <f t="shared" si="8"/>
        <v>0</v>
      </c>
      <c r="H136" s="231"/>
    </row>
    <row r="137" spans="2:8" x14ac:dyDescent="0.2">
      <c r="B137" s="233">
        <v>115</v>
      </c>
      <c r="C137" s="317">
        <f t="shared" si="9"/>
        <v>0</v>
      </c>
      <c r="D137" s="315">
        <f t="shared" si="5"/>
        <v>0</v>
      </c>
      <c r="E137" s="315">
        <f t="shared" si="6"/>
        <v>0</v>
      </c>
      <c r="F137" s="315">
        <f t="shared" si="7"/>
        <v>0</v>
      </c>
      <c r="G137" s="315">
        <f t="shared" si="8"/>
        <v>0</v>
      </c>
      <c r="H137" s="231"/>
    </row>
    <row r="138" spans="2:8" x14ac:dyDescent="0.2">
      <c r="B138" s="233">
        <v>116</v>
      </c>
      <c r="C138" s="317">
        <f t="shared" si="9"/>
        <v>0</v>
      </c>
      <c r="D138" s="315">
        <f t="shared" si="5"/>
        <v>0</v>
      </c>
      <c r="E138" s="315">
        <f t="shared" si="6"/>
        <v>0</v>
      </c>
      <c r="F138" s="315">
        <f t="shared" si="7"/>
        <v>0</v>
      </c>
      <c r="G138" s="315">
        <f t="shared" si="8"/>
        <v>0</v>
      </c>
      <c r="H138" s="231"/>
    </row>
    <row r="139" spans="2:8" x14ac:dyDescent="0.2">
      <c r="B139" s="233">
        <v>117</v>
      </c>
      <c r="C139" s="317">
        <f t="shared" si="9"/>
        <v>0</v>
      </c>
      <c r="D139" s="315">
        <f t="shared" si="5"/>
        <v>0</v>
      </c>
      <c r="E139" s="315">
        <f t="shared" si="6"/>
        <v>0</v>
      </c>
      <c r="F139" s="315">
        <f t="shared" si="7"/>
        <v>0</v>
      </c>
      <c r="G139" s="315">
        <f t="shared" si="8"/>
        <v>0</v>
      </c>
      <c r="H139" s="231"/>
    </row>
    <row r="140" spans="2:8" x14ac:dyDescent="0.2">
      <c r="B140" s="233">
        <v>118</v>
      </c>
      <c r="C140" s="317">
        <f t="shared" si="9"/>
        <v>0</v>
      </c>
      <c r="D140" s="315">
        <f t="shared" si="5"/>
        <v>0</v>
      </c>
      <c r="E140" s="315">
        <f t="shared" si="6"/>
        <v>0</v>
      </c>
      <c r="F140" s="315">
        <f t="shared" si="7"/>
        <v>0</v>
      </c>
      <c r="G140" s="315">
        <f t="shared" si="8"/>
        <v>0</v>
      </c>
      <c r="H140" s="231"/>
    </row>
    <row r="141" spans="2:8" x14ac:dyDescent="0.2">
      <c r="B141" s="233">
        <v>119</v>
      </c>
      <c r="C141" s="317">
        <f t="shared" si="9"/>
        <v>0</v>
      </c>
      <c r="D141" s="315">
        <f t="shared" si="5"/>
        <v>0</v>
      </c>
      <c r="E141" s="315">
        <f t="shared" si="6"/>
        <v>0</v>
      </c>
      <c r="F141" s="315">
        <f t="shared" si="7"/>
        <v>0</v>
      </c>
      <c r="G141" s="315">
        <f t="shared" si="8"/>
        <v>0</v>
      </c>
      <c r="H141" s="231"/>
    </row>
    <row r="142" spans="2:8" ht="13.5" thickBot="1" x14ac:dyDescent="0.25">
      <c r="B142" s="235">
        <v>120</v>
      </c>
      <c r="C142" s="319">
        <f t="shared" si="9"/>
        <v>0</v>
      </c>
      <c r="D142" s="315">
        <f t="shared" si="5"/>
        <v>0</v>
      </c>
      <c r="E142" s="315">
        <f t="shared" si="6"/>
        <v>0</v>
      </c>
      <c r="F142" s="315">
        <f t="shared" si="7"/>
        <v>0</v>
      </c>
      <c r="G142" s="315">
        <f t="shared" si="8"/>
        <v>0</v>
      </c>
      <c r="H142" s="231"/>
    </row>
    <row r="143" spans="2:8" ht="15" thickBot="1" x14ac:dyDescent="0.25">
      <c r="B143" s="226" t="s">
        <v>5</v>
      </c>
      <c r="C143" s="236"/>
      <c r="D143" s="237">
        <f>SUM(D23:D142)</f>
        <v>1741272.0388349516</v>
      </c>
      <c r="E143" s="237">
        <f>SUM(E23:E142)</f>
        <v>1513000</v>
      </c>
      <c r="F143" s="237">
        <f>SUM(F23:F142)</f>
        <v>228272.03883495147</v>
      </c>
      <c r="G143" s="238"/>
    </row>
  </sheetData>
  <sheetProtection algorithmName="SHA-512" hashValue="RE4DKrFBoIOV44337OvgyimFCuLGLEjiaSswn0sC7cmZcTGPTUJcrgalKUH5kujvmMdAs4oYMY9GfnF/F+UvGA==" saltValue="oyNlCh9gbNvukUYLbKb8Xg==" spinCount="100000" sheet="1" formatCells="0" formatColumns="0" formatRows="0" insertColumns="0" insertRows="0" insertHyperlinks="0" deleteColumns="0" deleteRows="0" sort="0" autoFilter="0" pivotTables="0"/>
  <mergeCells count="7">
    <mergeCell ref="B21:G21"/>
    <mergeCell ref="B2:K2"/>
    <mergeCell ref="B3:K3"/>
    <mergeCell ref="B4:K4"/>
    <mergeCell ref="B5:K5"/>
    <mergeCell ref="B7:C7"/>
    <mergeCell ref="B14:C14"/>
  </mergeCells>
  <dataValidations count="1">
    <dataValidation type="list" allowBlank="1" showInputMessage="1" showErrorMessage="1" sqref="C11">
      <formula1>$M$11:$M$14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2</xdr:col>
                    <xdr:colOff>38100</xdr:colOff>
                    <xdr:row>11</xdr:row>
                    <xdr:rowOff>47625</xdr:rowOff>
                  </from>
                  <to>
                    <xdr:col>2</xdr:col>
                    <xdr:colOff>1038225</xdr:colOff>
                    <xdr:row>11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70C0"/>
  </sheetPr>
  <dimension ref="A2:N143"/>
  <sheetViews>
    <sheetView zoomScale="140" zoomScaleNormal="140" workbookViewId="0">
      <selection activeCell="C15" sqref="C15"/>
    </sheetView>
  </sheetViews>
  <sheetFormatPr defaultColWidth="9.140625" defaultRowHeight="12.75" x14ac:dyDescent="0.2"/>
  <cols>
    <col min="1" max="1" width="9.140625" style="204"/>
    <col min="2" max="2" width="25.85546875" style="204" bestFit="1" customWidth="1"/>
    <col min="3" max="3" width="16.140625" style="204" bestFit="1" customWidth="1"/>
    <col min="4" max="4" width="12.140625" style="204" bestFit="1" customWidth="1"/>
    <col min="5" max="5" width="14.7109375" style="204" bestFit="1" customWidth="1"/>
    <col min="6" max="6" width="12.42578125" style="204" bestFit="1" customWidth="1"/>
    <col min="7" max="7" width="16.42578125" style="204" bestFit="1" customWidth="1"/>
    <col min="8" max="8" width="9.140625" style="204"/>
    <col min="9" max="9" width="14" style="204" bestFit="1" customWidth="1"/>
    <col min="10" max="11" width="9.140625" style="204" customWidth="1"/>
    <col min="12" max="12" width="9.140625" style="204"/>
    <col min="13" max="13" width="11" style="204" hidden="1" customWidth="1"/>
    <col min="14" max="14" width="4.42578125" style="204" hidden="1" customWidth="1"/>
    <col min="15" max="16384" width="9.140625" style="204"/>
  </cols>
  <sheetData>
    <row r="2" spans="1:14" ht="27.75" customHeight="1" x14ac:dyDescent="0.2">
      <c r="B2" s="366" t="s">
        <v>174</v>
      </c>
      <c r="C2" s="367"/>
      <c r="D2" s="367"/>
      <c r="E2" s="367"/>
      <c r="F2" s="367"/>
      <c r="G2" s="367"/>
      <c r="H2" s="367"/>
      <c r="I2" s="367"/>
      <c r="J2" s="367"/>
      <c r="K2" s="368"/>
    </row>
    <row r="3" spans="1:14" ht="27.75" customHeight="1" x14ac:dyDescent="0.2">
      <c r="B3" s="360" t="s">
        <v>175</v>
      </c>
      <c r="C3" s="360"/>
      <c r="D3" s="360"/>
      <c r="E3" s="360"/>
      <c r="F3" s="360"/>
      <c r="G3" s="360"/>
      <c r="H3" s="360"/>
      <c r="I3" s="360"/>
      <c r="J3" s="360"/>
      <c r="K3" s="360"/>
    </row>
    <row r="4" spans="1:14" ht="27.75" customHeight="1" x14ac:dyDescent="0.2">
      <c r="B4" s="360" t="s">
        <v>176</v>
      </c>
      <c r="C4" s="360"/>
      <c r="D4" s="360"/>
      <c r="E4" s="360"/>
      <c r="F4" s="360"/>
      <c r="G4" s="360"/>
      <c r="H4" s="360"/>
      <c r="I4" s="360"/>
      <c r="J4" s="360"/>
      <c r="K4" s="360"/>
    </row>
    <row r="5" spans="1:14" ht="27.75" customHeight="1" x14ac:dyDescent="0.2">
      <c r="B5" s="360" t="s">
        <v>177</v>
      </c>
      <c r="C5" s="360"/>
      <c r="D5" s="360"/>
      <c r="E5" s="360"/>
      <c r="F5" s="360"/>
      <c r="G5" s="360"/>
      <c r="H5" s="360"/>
      <c r="I5" s="360"/>
      <c r="J5" s="360"/>
      <c r="K5" s="360"/>
    </row>
    <row r="6" spans="1:14" ht="13.5" thickBot="1" x14ac:dyDescent="0.25"/>
    <row r="7" spans="1:14" ht="15" thickBot="1" x14ac:dyDescent="0.25">
      <c r="B7" s="361" t="s">
        <v>178</v>
      </c>
      <c r="C7" s="362"/>
    </row>
    <row r="8" spans="1:14" ht="14.25" x14ac:dyDescent="0.2">
      <c r="B8" s="205" t="s">
        <v>179</v>
      </c>
      <c r="C8" s="206">
        <f ca="1">Calculations!E47</f>
        <v>228482.82177279069</v>
      </c>
    </row>
    <row r="9" spans="1:14" ht="14.25" x14ac:dyDescent="0.2">
      <c r="B9" s="207" t="s">
        <v>180</v>
      </c>
      <c r="C9" s="208">
        <f>'Input Sheet'!D102</f>
        <v>0.19</v>
      </c>
      <c r="M9" s="209" t="s">
        <v>181</v>
      </c>
      <c r="N9" s="209">
        <v>2</v>
      </c>
    </row>
    <row r="10" spans="1:14" ht="14.25" x14ac:dyDescent="0.2">
      <c r="B10" s="207" t="s">
        <v>182</v>
      </c>
      <c r="C10" s="210">
        <f>IF('Input Sheet'!$E$103&lt;1, 1, 'Input Sheet'!$E$103)</f>
        <v>1</v>
      </c>
      <c r="M10" s="209" t="s">
        <v>183</v>
      </c>
      <c r="N10" s="209"/>
    </row>
    <row r="11" spans="1:14" ht="14.25" x14ac:dyDescent="0.2">
      <c r="B11" s="207" t="s">
        <v>184</v>
      </c>
      <c r="C11" s="210" t="s">
        <v>190</v>
      </c>
      <c r="M11" s="209" t="s">
        <v>185</v>
      </c>
      <c r="N11" s="209">
        <v>12</v>
      </c>
    </row>
    <row r="12" spans="1:14" ht="29.25" customHeight="1" thickBot="1" x14ac:dyDescent="0.25">
      <c r="B12" s="211" t="s">
        <v>186</v>
      </c>
      <c r="C12" s="212"/>
      <c r="M12" s="209" t="s">
        <v>187</v>
      </c>
      <c r="N12" s="209">
        <v>4</v>
      </c>
    </row>
    <row r="13" spans="1:14" ht="15.75" customHeight="1" thickBot="1" x14ac:dyDescent="0.25">
      <c r="B13" s="213"/>
      <c r="C13" s="214"/>
      <c r="M13" s="209" t="s">
        <v>188</v>
      </c>
      <c r="N13" s="209">
        <v>2</v>
      </c>
    </row>
    <row r="14" spans="1:14" ht="15" thickBot="1" x14ac:dyDescent="0.25">
      <c r="A14" s="215"/>
      <c r="B14" s="361" t="s">
        <v>189</v>
      </c>
      <c r="C14" s="362"/>
      <c r="D14" s="215"/>
      <c r="M14" s="209" t="s">
        <v>190</v>
      </c>
      <c r="N14" s="209">
        <v>1</v>
      </c>
    </row>
    <row r="15" spans="1:14" ht="14.25" x14ac:dyDescent="0.2">
      <c r="B15" s="216" t="s">
        <v>191</v>
      </c>
      <c r="C15" s="217">
        <f>IF(C10=1, 0, CHOOSE($N$9,$C$16,0))</f>
        <v>0</v>
      </c>
    </row>
    <row r="16" spans="1:14" ht="14.25" x14ac:dyDescent="0.2">
      <c r="B16" s="218" t="s">
        <v>192</v>
      </c>
      <c r="C16" s="219">
        <f>VLOOKUP($C$11,$M$11:$N$14,2,0)</f>
        <v>1</v>
      </c>
    </row>
    <row r="17" spans="2:14" ht="14.25" x14ac:dyDescent="0.2">
      <c r="B17" s="218" t="s">
        <v>193</v>
      </c>
      <c r="C17" s="220">
        <f>$C$10*$C$16</f>
        <v>1</v>
      </c>
    </row>
    <row r="18" spans="2:14" ht="14.25" x14ac:dyDescent="0.2">
      <c r="B18" s="218" t="s">
        <v>194</v>
      </c>
      <c r="C18" s="221">
        <f ca="1">$F$143</f>
        <v>43411.736136586915</v>
      </c>
      <c r="E18" s="222"/>
    </row>
    <row r="19" spans="2:14" ht="15" thickBot="1" x14ac:dyDescent="0.25">
      <c r="B19" s="223" t="s">
        <v>195</v>
      </c>
      <c r="C19" s="224">
        <f ca="1">$D$143</f>
        <v>271894.55790809693</v>
      </c>
    </row>
    <row r="20" spans="2:14" ht="13.5" thickBot="1" x14ac:dyDescent="0.25">
      <c r="N20" s="225"/>
    </row>
    <row r="21" spans="2:14" ht="15" thickBot="1" x14ac:dyDescent="0.25">
      <c r="B21" s="363" t="s">
        <v>196</v>
      </c>
      <c r="C21" s="364"/>
      <c r="D21" s="364"/>
      <c r="E21" s="364"/>
      <c r="F21" s="364"/>
      <c r="G21" s="365"/>
    </row>
    <row r="22" spans="2:14" s="229" customFormat="1" ht="15" thickBot="1" x14ac:dyDescent="0.25">
      <c r="B22" s="239" t="s">
        <v>197</v>
      </c>
      <c r="C22" s="240" t="s">
        <v>198</v>
      </c>
      <c r="D22" s="240" t="s">
        <v>197</v>
      </c>
      <c r="E22" s="240" t="s">
        <v>199</v>
      </c>
      <c r="F22" s="240" t="s">
        <v>200</v>
      </c>
      <c r="G22" s="241" t="s">
        <v>201</v>
      </c>
    </row>
    <row r="23" spans="2:14" x14ac:dyDescent="0.2">
      <c r="B23" s="230">
        <v>1</v>
      </c>
      <c r="C23" s="315">
        <f ca="1">C8</f>
        <v>228482.82177279069</v>
      </c>
      <c r="D23" s="315">
        <f ca="1">IF((IF($B23&lt;=$C$17,(CHOOSE($N$9,IF(B23&lt;=$C$15,F23,-PMT($C$9/$C$16,$C$17-$C$15,$C$8)),-PMT($C$9/$C$16,$C$17,$C$8))),0))&lt;1,0,(IF($B23&lt;=$C$17,(CHOOSE($N$9,IF(B23&lt;=$C$15,F23,-PMT($C$9/$C$16,$C$17-$C$15,$C$8)),-PMT($C$9/$C$16,$C$17,$C$8))),0)))</f>
        <v>271894.55790962087</v>
      </c>
      <c r="E23" s="315">
        <f ca="1">IF(((D23-F23)&lt;1),0,(D23-F23))</f>
        <v>228482.82177303394</v>
      </c>
      <c r="F23" s="315">
        <f ca="1">IF(((C23*$C$9/$C$16)&lt;1),0,(C23*$C$9/$C$16))</f>
        <v>43411.73613683023</v>
      </c>
      <c r="G23" s="316">
        <f ca="1">IF(((C23-E23)&lt;1),0,(C23-E23))</f>
        <v>0</v>
      </c>
      <c r="H23" s="231"/>
      <c r="I23" s="232"/>
    </row>
    <row r="24" spans="2:14" x14ac:dyDescent="0.2">
      <c r="B24" s="233">
        <v>2</v>
      </c>
      <c r="C24" s="317">
        <f ca="1">G23</f>
        <v>0</v>
      </c>
      <c r="D24" s="315">
        <f t="shared" ref="D24:D87" si="0">IF((IF($B24&lt;=$C$17,(CHOOSE($N$9,IF(B24&lt;=$C$15,F24,-PMT($C$9/$C$16,$C$17-$C$15,$C$8)),-PMT($C$9/$C$16,$C$17,$C$8))),0))&lt;1,0,(IF($B24&lt;=$C$17,(CHOOSE($N$9,IF(B24&lt;=$C$15,F24,-PMT($C$9/$C$16,$C$17-$C$15,$C$8)),-PMT($C$9/$C$16,$C$17,$C$8))),0)))</f>
        <v>0</v>
      </c>
      <c r="E24" s="315">
        <f t="shared" ref="E24:E87" ca="1" si="1">IF(((D24-F24)&lt;1),0,(D24-F24))</f>
        <v>0</v>
      </c>
      <c r="F24" s="315">
        <f t="shared" ref="F24:F87" ca="1" si="2">IF(((C24*$C$9/$C$16)&lt;1),0,(C24*$C$9/$C$16))</f>
        <v>0</v>
      </c>
      <c r="G24" s="316">
        <f t="shared" ref="G24:G87" ca="1" si="3">IF(((C24-E24)&lt;1),0,(C24-E24))</f>
        <v>0</v>
      </c>
      <c r="H24" s="231"/>
    </row>
    <row r="25" spans="2:14" x14ac:dyDescent="0.2">
      <c r="B25" s="233">
        <v>3</v>
      </c>
      <c r="C25" s="317">
        <f t="shared" ref="C25:C88" ca="1" si="4">G24</f>
        <v>0</v>
      </c>
      <c r="D25" s="315">
        <f t="shared" si="0"/>
        <v>0</v>
      </c>
      <c r="E25" s="315">
        <f t="shared" ca="1" si="1"/>
        <v>0</v>
      </c>
      <c r="F25" s="315">
        <f t="shared" ca="1" si="2"/>
        <v>0</v>
      </c>
      <c r="G25" s="316">
        <f t="shared" ca="1" si="3"/>
        <v>0</v>
      </c>
      <c r="H25" s="231"/>
    </row>
    <row r="26" spans="2:14" x14ac:dyDescent="0.2">
      <c r="B26" s="233">
        <v>4</v>
      </c>
      <c r="C26" s="317">
        <f t="shared" ca="1" si="4"/>
        <v>0</v>
      </c>
      <c r="D26" s="315">
        <f t="shared" si="0"/>
        <v>0</v>
      </c>
      <c r="E26" s="315">
        <f t="shared" ca="1" si="1"/>
        <v>0</v>
      </c>
      <c r="F26" s="315">
        <f t="shared" ca="1" si="2"/>
        <v>0</v>
      </c>
      <c r="G26" s="316">
        <f t="shared" ca="1" si="3"/>
        <v>0</v>
      </c>
      <c r="H26" s="231"/>
    </row>
    <row r="27" spans="2:14" x14ac:dyDescent="0.2">
      <c r="B27" s="233">
        <v>5</v>
      </c>
      <c r="C27" s="317">
        <f t="shared" ca="1" si="4"/>
        <v>0</v>
      </c>
      <c r="D27" s="315">
        <f t="shared" si="0"/>
        <v>0</v>
      </c>
      <c r="E27" s="315">
        <f t="shared" ca="1" si="1"/>
        <v>0</v>
      </c>
      <c r="F27" s="315">
        <f t="shared" ca="1" si="2"/>
        <v>0</v>
      </c>
      <c r="G27" s="316">
        <f t="shared" ca="1" si="3"/>
        <v>0</v>
      </c>
      <c r="H27" s="231"/>
    </row>
    <row r="28" spans="2:14" x14ac:dyDescent="0.2">
      <c r="B28" s="233">
        <v>6</v>
      </c>
      <c r="C28" s="317">
        <f t="shared" ca="1" si="4"/>
        <v>0</v>
      </c>
      <c r="D28" s="315">
        <f t="shared" si="0"/>
        <v>0</v>
      </c>
      <c r="E28" s="315">
        <f t="shared" ca="1" si="1"/>
        <v>0</v>
      </c>
      <c r="F28" s="315">
        <f t="shared" ca="1" si="2"/>
        <v>0</v>
      </c>
      <c r="G28" s="316">
        <f t="shared" ca="1" si="3"/>
        <v>0</v>
      </c>
      <c r="H28" s="231"/>
    </row>
    <row r="29" spans="2:14" x14ac:dyDescent="0.2">
      <c r="B29" s="233">
        <v>7</v>
      </c>
      <c r="C29" s="317">
        <f t="shared" ca="1" si="4"/>
        <v>0</v>
      </c>
      <c r="D29" s="315">
        <f t="shared" si="0"/>
        <v>0</v>
      </c>
      <c r="E29" s="315">
        <f t="shared" ca="1" si="1"/>
        <v>0</v>
      </c>
      <c r="F29" s="315">
        <f t="shared" ca="1" si="2"/>
        <v>0</v>
      </c>
      <c r="G29" s="316">
        <f t="shared" ca="1" si="3"/>
        <v>0</v>
      </c>
      <c r="H29" s="231"/>
    </row>
    <row r="30" spans="2:14" x14ac:dyDescent="0.2">
      <c r="B30" s="233">
        <v>8</v>
      </c>
      <c r="C30" s="317">
        <f t="shared" ca="1" si="4"/>
        <v>0</v>
      </c>
      <c r="D30" s="315">
        <f t="shared" si="0"/>
        <v>0</v>
      </c>
      <c r="E30" s="315">
        <f t="shared" ca="1" si="1"/>
        <v>0</v>
      </c>
      <c r="F30" s="315">
        <f t="shared" ca="1" si="2"/>
        <v>0</v>
      </c>
      <c r="G30" s="316">
        <f t="shared" ca="1" si="3"/>
        <v>0</v>
      </c>
      <c r="H30" s="231"/>
    </row>
    <row r="31" spans="2:14" x14ac:dyDescent="0.2">
      <c r="B31" s="233">
        <v>9</v>
      </c>
      <c r="C31" s="317">
        <f t="shared" ca="1" si="4"/>
        <v>0</v>
      </c>
      <c r="D31" s="315">
        <f t="shared" si="0"/>
        <v>0</v>
      </c>
      <c r="E31" s="315">
        <f t="shared" ca="1" si="1"/>
        <v>0</v>
      </c>
      <c r="F31" s="315">
        <f t="shared" ca="1" si="2"/>
        <v>0</v>
      </c>
      <c r="G31" s="316">
        <f t="shared" ca="1" si="3"/>
        <v>0</v>
      </c>
      <c r="H31" s="231"/>
    </row>
    <row r="32" spans="2:14" x14ac:dyDescent="0.2">
      <c r="B32" s="233">
        <v>10</v>
      </c>
      <c r="C32" s="317">
        <f t="shared" ca="1" si="4"/>
        <v>0</v>
      </c>
      <c r="D32" s="315">
        <f t="shared" si="0"/>
        <v>0</v>
      </c>
      <c r="E32" s="315">
        <f t="shared" ca="1" si="1"/>
        <v>0</v>
      </c>
      <c r="F32" s="315">
        <f t="shared" ca="1" si="2"/>
        <v>0</v>
      </c>
      <c r="G32" s="316">
        <f t="shared" ca="1" si="3"/>
        <v>0</v>
      </c>
      <c r="H32" s="231"/>
    </row>
    <row r="33" spans="2:9" x14ac:dyDescent="0.2">
      <c r="B33" s="233">
        <v>11</v>
      </c>
      <c r="C33" s="317">
        <f t="shared" ca="1" si="4"/>
        <v>0</v>
      </c>
      <c r="D33" s="315">
        <f t="shared" si="0"/>
        <v>0</v>
      </c>
      <c r="E33" s="315">
        <f t="shared" ca="1" si="1"/>
        <v>0</v>
      </c>
      <c r="F33" s="315">
        <f t="shared" ca="1" si="2"/>
        <v>0</v>
      </c>
      <c r="G33" s="316">
        <f t="shared" ca="1" si="3"/>
        <v>0</v>
      </c>
      <c r="H33" s="231"/>
    </row>
    <row r="34" spans="2:9" x14ac:dyDescent="0.2">
      <c r="B34" s="233">
        <v>12</v>
      </c>
      <c r="C34" s="317">
        <f t="shared" ca="1" si="4"/>
        <v>0</v>
      </c>
      <c r="D34" s="315">
        <f t="shared" si="0"/>
        <v>0</v>
      </c>
      <c r="E34" s="315">
        <f t="shared" ca="1" si="1"/>
        <v>0</v>
      </c>
      <c r="F34" s="315">
        <f t="shared" ca="1" si="2"/>
        <v>0</v>
      </c>
      <c r="G34" s="316">
        <f t="shared" ca="1" si="3"/>
        <v>0</v>
      </c>
      <c r="H34" s="231"/>
    </row>
    <row r="35" spans="2:9" x14ac:dyDescent="0.2">
      <c r="B35" s="233">
        <v>13</v>
      </c>
      <c r="C35" s="317">
        <f t="shared" ca="1" si="4"/>
        <v>0</v>
      </c>
      <c r="D35" s="315">
        <f t="shared" si="0"/>
        <v>0</v>
      </c>
      <c r="E35" s="315">
        <f t="shared" ca="1" si="1"/>
        <v>0</v>
      </c>
      <c r="F35" s="315">
        <f t="shared" ca="1" si="2"/>
        <v>0</v>
      </c>
      <c r="G35" s="316">
        <f t="shared" ca="1" si="3"/>
        <v>0</v>
      </c>
      <c r="H35" s="231"/>
      <c r="I35" s="234"/>
    </row>
    <row r="36" spans="2:9" x14ac:dyDescent="0.2">
      <c r="B36" s="233">
        <v>14</v>
      </c>
      <c r="C36" s="317">
        <f t="shared" ca="1" si="4"/>
        <v>0</v>
      </c>
      <c r="D36" s="315">
        <f t="shared" si="0"/>
        <v>0</v>
      </c>
      <c r="E36" s="315">
        <f t="shared" ca="1" si="1"/>
        <v>0</v>
      </c>
      <c r="F36" s="315">
        <f t="shared" ca="1" si="2"/>
        <v>0</v>
      </c>
      <c r="G36" s="316">
        <f t="shared" ca="1" si="3"/>
        <v>0</v>
      </c>
      <c r="H36" s="231"/>
    </row>
    <row r="37" spans="2:9" x14ac:dyDescent="0.2">
      <c r="B37" s="233">
        <v>15</v>
      </c>
      <c r="C37" s="317">
        <f t="shared" ca="1" si="4"/>
        <v>0</v>
      </c>
      <c r="D37" s="315">
        <f t="shared" si="0"/>
        <v>0</v>
      </c>
      <c r="E37" s="315">
        <f t="shared" ca="1" si="1"/>
        <v>0</v>
      </c>
      <c r="F37" s="315">
        <f t="shared" ca="1" si="2"/>
        <v>0</v>
      </c>
      <c r="G37" s="316">
        <f t="shared" ca="1" si="3"/>
        <v>0</v>
      </c>
      <c r="H37" s="231"/>
    </row>
    <row r="38" spans="2:9" x14ac:dyDescent="0.2">
      <c r="B38" s="233">
        <v>16</v>
      </c>
      <c r="C38" s="317">
        <f t="shared" ca="1" si="4"/>
        <v>0</v>
      </c>
      <c r="D38" s="315">
        <f t="shared" si="0"/>
        <v>0</v>
      </c>
      <c r="E38" s="315">
        <f t="shared" ca="1" si="1"/>
        <v>0</v>
      </c>
      <c r="F38" s="315">
        <f t="shared" ca="1" si="2"/>
        <v>0</v>
      </c>
      <c r="G38" s="316">
        <f t="shared" ca="1" si="3"/>
        <v>0</v>
      </c>
      <c r="H38" s="231"/>
    </row>
    <row r="39" spans="2:9" x14ac:dyDescent="0.2">
      <c r="B39" s="233">
        <v>17</v>
      </c>
      <c r="C39" s="317">
        <f t="shared" ca="1" si="4"/>
        <v>0</v>
      </c>
      <c r="D39" s="315">
        <f t="shared" si="0"/>
        <v>0</v>
      </c>
      <c r="E39" s="315">
        <f t="shared" ca="1" si="1"/>
        <v>0</v>
      </c>
      <c r="F39" s="315">
        <f t="shared" ca="1" si="2"/>
        <v>0</v>
      </c>
      <c r="G39" s="316">
        <f t="shared" ca="1" si="3"/>
        <v>0</v>
      </c>
      <c r="H39" s="231"/>
    </row>
    <row r="40" spans="2:9" x14ac:dyDescent="0.2">
      <c r="B40" s="233">
        <v>18</v>
      </c>
      <c r="C40" s="317">
        <f t="shared" ca="1" si="4"/>
        <v>0</v>
      </c>
      <c r="D40" s="315">
        <f t="shared" si="0"/>
        <v>0</v>
      </c>
      <c r="E40" s="315">
        <f t="shared" ca="1" si="1"/>
        <v>0</v>
      </c>
      <c r="F40" s="315">
        <f t="shared" ca="1" si="2"/>
        <v>0</v>
      </c>
      <c r="G40" s="316">
        <f t="shared" ca="1" si="3"/>
        <v>0</v>
      </c>
      <c r="H40" s="231"/>
    </row>
    <row r="41" spans="2:9" x14ac:dyDescent="0.2">
      <c r="B41" s="233">
        <v>19</v>
      </c>
      <c r="C41" s="317">
        <f t="shared" ca="1" si="4"/>
        <v>0</v>
      </c>
      <c r="D41" s="315">
        <f t="shared" si="0"/>
        <v>0</v>
      </c>
      <c r="E41" s="315">
        <f t="shared" ca="1" si="1"/>
        <v>0</v>
      </c>
      <c r="F41" s="315">
        <f t="shared" ca="1" si="2"/>
        <v>0</v>
      </c>
      <c r="G41" s="316">
        <f t="shared" ca="1" si="3"/>
        <v>0</v>
      </c>
      <c r="H41" s="231"/>
    </row>
    <row r="42" spans="2:9" x14ac:dyDescent="0.2">
      <c r="B42" s="233">
        <v>20</v>
      </c>
      <c r="C42" s="317">
        <f t="shared" ca="1" si="4"/>
        <v>0</v>
      </c>
      <c r="D42" s="315">
        <f t="shared" si="0"/>
        <v>0</v>
      </c>
      <c r="E42" s="315">
        <f t="shared" ca="1" si="1"/>
        <v>0</v>
      </c>
      <c r="F42" s="315">
        <f t="shared" ca="1" si="2"/>
        <v>0</v>
      </c>
      <c r="G42" s="316">
        <f t="shared" ca="1" si="3"/>
        <v>0</v>
      </c>
      <c r="H42" s="231"/>
    </row>
    <row r="43" spans="2:9" x14ac:dyDescent="0.2">
      <c r="B43" s="233">
        <v>21</v>
      </c>
      <c r="C43" s="317">
        <f t="shared" ca="1" si="4"/>
        <v>0</v>
      </c>
      <c r="D43" s="315">
        <f t="shared" si="0"/>
        <v>0</v>
      </c>
      <c r="E43" s="315">
        <f t="shared" ca="1" si="1"/>
        <v>0</v>
      </c>
      <c r="F43" s="315">
        <f t="shared" ca="1" si="2"/>
        <v>0</v>
      </c>
      <c r="G43" s="316">
        <f t="shared" ca="1" si="3"/>
        <v>0</v>
      </c>
      <c r="H43" s="231"/>
    </row>
    <row r="44" spans="2:9" x14ac:dyDescent="0.2">
      <c r="B44" s="233">
        <v>22</v>
      </c>
      <c r="C44" s="317">
        <f t="shared" ca="1" si="4"/>
        <v>0</v>
      </c>
      <c r="D44" s="315">
        <f t="shared" si="0"/>
        <v>0</v>
      </c>
      <c r="E44" s="315">
        <f t="shared" ca="1" si="1"/>
        <v>0</v>
      </c>
      <c r="F44" s="315">
        <f t="shared" ca="1" si="2"/>
        <v>0</v>
      </c>
      <c r="G44" s="316">
        <f t="shared" ca="1" si="3"/>
        <v>0</v>
      </c>
      <c r="H44" s="231"/>
    </row>
    <row r="45" spans="2:9" x14ac:dyDescent="0.2">
      <c r="B45" s="233">
        <v>23</v>
      </c>
      <c r="C45" s="317">
        <f t="shared" ca="1" si="4"/>
        <v>0</v>
      </c>
      <c r="D45" s="315">
        <f t="shared" si="0"/>
        <v>0</v>
      </c>
      <c r="E45" s="315">
        <f t="shared" ca="1" si="1"/>
        <v>0</v>
      </c>
      <c r="F45" s="315">
        <f t="shared" ca="1" si="2"/>
        <v>0</v>
      </c>
      <c r="G45" s="316">
        <f t="shared" ca="1" si="3"/>
        <v>0</v>
      </c>
      <c r="H45" s="231"/>
    </row>
    <row r="46" spans="2:9" x14ac:dyDescent="0.2">
      <c r="B46" s="233">
        <v>24</v>
      </c>
      <c r="C46" s="317">
        <f t="shared" ca="1" si="4"/>
        <v>0</v>
      </c>
      <c r="D46" s="315">
        <f t="shared" si="0"/>
        <v>0</v>
      </c>
      <c r="E46" s="315">
        <f t="shared" ca="1" si="1"/>
        <v>0</v>
      </c>
      <c r="F46" s="315">
        <f t="shared" ca="1" si="2"/>
        <v>0</v>
      </c>
      <c r="G46" s="316">
        <f t="shared" ca="1" si="3"/>
        <v>0</v>
      </c>
      <c r="H46" s="231"/>
    </row>
    <row r="47" spans="2:9" x14ac:dyDescent="0.2">
      <c r="B47" s="233">
        <v>25</v>
      </c>
      <c r="C47" s="317">
        <f t="shared" ca="1" si="4"/>
        <v>0</v>
      </c>
      <c r="D47" s="315">
        <f t="shared" si="0"/>
        <v>0</v>
      </c>
      <c r="E47" s="315">
        <f t="shared" ca="1" si="1"/>
        <v>0</v>
      </c>
      <c r="F47" s="315">
        <f t="shared" ca="1" si="2"/>
        <v>0</v>
      </c>
      <c r="G47" s="316">
        <f t="shared" ca="1" si="3"/>
        <v>0</v>
      </c>
      <c r="H47" s="231"/>
    </row>
    <row r="48" spans="2:9" x14ac:dyDescent="0.2">
      <c r="B48" s="233">
        <v>26</v>
      </c>
      <c r="C48" s="317">
        <f t="shared" ca="1" si="4"/>
        <v>0</v>
      </c>
      <c r="D48" s="315">
        <f t="shared" si="0"/>
        <v>0</v>
      </c>
      <c r="E48" s="315">
        <f t="shared" ca="1" si="1"/>
        <v>0</v>
      </c>
      <c r="F48" s="315">
        <f t="shared" ca="1" si="2"/>
        <v>0</v>
      </c>
      <c r="G48" s="316">
        <f t="shared" ca="1" si="3"/>
        <v>0</v>
      </c>
      <c r="H48" s="231"/>
    </row>
    <row r="49" spans="2:8" x14ac:dyDescent="0.2">
      <c r="B49" s="233">
        <v>27</v>
      </c>
      <c r="C49" s="317">
        <f t="shared" ca="1" si="4"/>
        <v>0</v>
      </c>
      <c r="D49" s="315">
        <f t="shared" si="0"/>
        <v>0</v>
      </c>
      <c r="E49" s="315">
        <f t="shared" ca="1" si="1"/>
        <v>0</v>
      </c>
      <c r="F49" s="315">
        <f t="shared" ca="1" si="2"/>
        <v>0</v>
      </c>
      <c r="G49" s="316">
        <f t="shared" ca="1" si="3"/>
        <v>0</v>
      </c>
      <c r="H49" s="231"/>
    </row>
    <row r="50" spans="2:8" x14ac:dyDescent="0.2">
      <c r="B50" s="233">
        <v>28</v>
      </c>
      <c r="C50" s="317">
        <f t="shared" ca="1" si="4"/>
        <v>0</v>
      </c>
      <c r="D50" s="315">
        <f t="shared" si="0"/>
        <v>0</v>
      </c>
      <c r="E50" s="315">
        <f t="shared" ca="1" si="1"/>
        <v>0</v>
      </c>
      <c r="F50" s="315">
        <f t="shared" ca="1" si="2"/>
        <v>0</v>
      </c>
      <c r="G50" s="316">
        <f t="shared" ca="1" si="3"/>
        <v>0</v>
      </c>
      <c r="H50" s="231"/>
    </row>
    <row r="51" spans="2:8" x14ac:dyDescent="0.2">
      <c r="B51" s="233">
        <v>29</v>
      </c>
      <c r="C51" s="317">
        <f t="shared" ca="1" si="4"/>
        <v>0</v>
      </c>
      <c r="D51" s="315">
        <f t="shared" si="0"/>
        <v>0</v>
      </c>
      <c r="E51" s="315">
        <f t="shared" ca="1" si="1"/>
        <v>0</v>
      </c>
      <c r="F51" s="315">
        <f t="shared" ca="1" si="2"/>
        <v>0</v>
      </c>
      <c r="G51" s="316">
        <f t="shared" ca="1" si="3"/>
        <v>0</v>
      </c>
      <c r="H51" s="231"/>
    </row>
    <row r="52" spans="2:8" x14ac:dyDescent="0.2">
      <c r="B52" s="233">
        <v>30</v>
      </c>
      <c r="C52" s="317">
        <f t="shared" ca="1" si="4"/>
        <v>0</v>
      </c>
      <c r="D52" s="315">
        <f t="shared" si="0"/>
        <v>0</v>
      </c>
      <c r="E52" s="315">
        <f t="shared" ca="1" si="1"/>
        <v>0</v>
      </c>
      <c r="F52" s="315">
        <f t="shared" ca="1" si="2"/>
        <v>0</v>
      </c>
      <c r="G52" s="316">
        <f t="shared" ca="1" si="3"/>
        <v>0</v>
      </c>
      <c r="H52" s="231"/>
    </row>
    <row r="53" spans="2:8" x14ac:dyDescent="0.2">
      <c r="B53" s="233">
        <v>31</v>
      </c>
      <c r="C53" s="317">
        <f t="shared" ca="1" si="4"/>
        <v>0</v>
      </c>
      <c r="D53" s="315">
        <f t="shared" si="0"/>
        <v>0</v>
      </c>
      <c r="E53" s="315">
        <f t="shared" ca="1" si="1"/>
        <v>0</v>
      </c>
      <c r="F53" s="315">
        <f t="shared" ca="1" si="2"/>
        <v>0</v>
      </c>
      <c r="G53" s="316">
        <f t="shared" ca="1" si="3"/>
        <v>0</v>
      </c>
      <c r="H53" s="231"/>
    </row>
    <row r="54" spans="2:8" x14ac:dyDescent="0.2">
      <c r="B54" s="233">
        <v>32</v>
      </c>
      <c r="C54" s="317">
        <f t="shared" ca="1" si="4"/>
        <v>0</v>
      </c>
      <c r="D54" s="315">
        <f t="shared" si="0"/>
        <v>0</v>
      </c>
      <c r="E54" s="315">
        <f t="shared" ca="1" si="1"/>
        <v>0</v>
      </c>
      <c r="F54" s="315">
        <f t="shared" ca="1" si="2"/>
        <v>0</v>
      </c>
      <c r="G54" s="316">
        <f t="shared" ca="1" si="3"/>
        <v>0</v>
      </c>
      <c r="H54" s="231"/>
    </row>
    <row r="55" spans="2:8" x14ac:dyDescent="0.2">
      <c r="B55" s="233">
        <v>33</v>
      </c>
      <c r="C55" s="317">
        <f t="shared" ca="1" si="4"/>
        <v>0</v>
      </c>
      <c r="D55" s="315">
        <f t="shared" si="0"/>
        <v>0</v>
      </c>
      <c r="E55" s="315">
        <f t="shared" ca="1" si="1"/>
        <v>0</v>
      </c>
      <c r="F55" s="315">
        <f t="shared" ca="1" si="2"/>
        <v>0</v>
      </c>
      <c r="G55" s="316">
        <f t="shared" ca="1" si="3"/>
        <v>0</v>
      </c>
      <c r="H55" s="231"/>
    </row>
    <row r="56" spans="2:8" x14ac:dyDescent="0.2">
      <c r="B56" s="233">
        <v>34</v>
      </c>
      <c r="C56" s="317">
        <f t="shared" ca="1" si="4"/>
        <v>0</v>
      </c>
      <c r="D56" s="315">
        <f t="shared" si="0"/>
        <v>0</v>
      </c>
      <c r="E56" s="315">
        <f t="shared" ca="1" si="1"/>
        <v>0</v>
      </c>
      <c r="F56" s="315">
        <f t="shared" ca="1" si="2"/>
        <v>0</v>
      </c>
      <c r="G56" s="316">
        <f t="shared" ca="1" si="3"/>
        <v>0</v>
      </c>
      <c r="H56" s="231"/>
    </row>
    <row r="57" spans="2:8" x14ac:dyDescent="0.2">
      <c r="B57" s="233">
        <v>35</v>
      </c>
      <c r="C57" s="317">
        <f t="shared" ca="1" si="4"/>
        <v>0</v>
      </c>
      <c r="D57" s="315">
        <f t="shared" si="0"/>
        <v>0</v>
      </c>
      <c r="E57" s="315">
        <f t="shared" ca="1" si="1"/>
        <v>0</v>
      </c>
      <c r="F57" s="315">
        <f t="shared" ca="1" si="2"/>
        <v>0</v>
      </c>
      <c r="G57" s="316">
        <f t="shared" ca="1" si="3"/>
        <v>0</v>
      </c>
      <c r="H57" s="231"/>
    </row>
    <row r="58" spans="2:8" x14ac:dyDescent="0.2">
      <c r="B58" s="233">
        <v>36</v>
      </c>
      <c r="C58" s="317">
        <f t="shared" ca="1" si="4"/>
        <v>0</v>
      </c>
      <c r="D58" s="315">
        <f t="shared" si="0"/>
        <v>0</v>
      </c>
      <c r="E58" s="315">
        <f t="shared" ca="1" si="1"/>
        <v>0</v>
      </c>
      <c r="F58" s="315">
        <f t="shared" ca="1" si="2"/>
        <v>0</v>
      </c>
      <c r="G58" s="316">
        <f t="shared" ca="1" si="3"/>
        <v>0</v>
      </c>
      <c r="H58" s="231"/>
    </row>
    <row r="59" spans="2:8" x14ac:dyDescent="0.2">
      <c r="B59" s="233">
        <v>37</v>
      </c>
      <c r="C59" s="317">
        <f t="shared" ca="1" si="4"/>
        <v>0</v>
      </c>
      <c r="D59" s="315">
        <f t="shared" si="0"/>
        <v>0</v>
      </c>
      <c r="E59" s="315">
        <f t="shared" ca="1" si="1"/>
        <v>0</v>
      </c>
      <c r="F59" s="315">
        <f t="shared" ca="1" si="2"/>
        <v>0</v>
      </c>
      <c r="G59" s="316">
        <f t="shared" ca="1" si="3"/>
        <v>0</v>
      </c>
      <c r="H59" s="231"/>
    </row>
    <row r="60" spans="2:8" x14ac:dyDescent="0.2">
      <c r="B60" s="233">
        <v>38</v>
      </c>
      <c r="C60" s="317">
        <f t="shared" ca="1" si="4"/>
        <v>0</v>
      </c>
      <c r="D60" s="315">
        <f t="shared" si="0"/>
        <v>0</v>
      </c>
      <c r="E60" s="315">
        <f t="shared" ca="1" si="1"/>
        <v>0</v>
      </c>
      <c r="F60" s="315">
        <f t="shared" ca="1" si="2"/>
        <v>0</v>
      </c>
      <c r="G60" s="316">
        <f t="shared" ca="1" si="3"/>
        <v>0</v>
      </c>
      <c r="H60" s="231"/>
    </row>
    <row r="61" spans="2:8" x14ac:dyDescent="0.2">
      <c r="B61" s="233">
        <v>39</v>
      </c>
      <c r="C61" s="317">
        <f t="shared" ca="1" si="4"/>
        <v>0</v>
      </c>
      <c r="D61" s="315">
        <f t="shared" si="0"/>
        <v>0</v>
      </c>
      <c r="E61" s="315">
        <f t="shared" ca="1" si="1"/>
        <v>0</v>
      </c>
      <c r="F61" s="315">
        <f t="shared" ca="1" si="2"/>
        <v>0</v>
      </c>
      <c r="G61" s="316">
        <f t="shared" ca="1" si="3"/>
        <v>0</v>
      </c>
      <c r="H61" s="231"/>
    </row>
    <row r="62" spans="2:8" x14ac:dyDescent="0.2">
      <c r="B62" s="233">
        <v>40</v>
      </c>
      <c r="C62" s="317">
        <f t="shared" ca="1" si="4"/>
        <v>0</v>
      </c>
      <c r="D62" s="315">
        <f t="shared" si="0"/>
        <v>0</v>
      </c>
      <c r="E62" s="315">
        <f t="shared" ca="1" si="1"/>
        <v>0</v>
      </c>
      <c r="F62" s="315">
        <f t="shared" ca="1" si="2"/>
        <v>0</v>
      </c>
      <c r="G62" s="316">
        <f t="shared" ca="1" si="3"/>
        <v>0</v>
      </c>
      <c r="H62" s="231"/>
    </row>
    <row r="63" spans="2:8" x14ac:dyDescent="0.2">
      <c r="B63" s="233">
        <v>41</v>
      </c>
      <c r="C63" s="317">
        <f t="shared" ca="1" si="4"/>
        <v>0</v>
      </c>
      <c r="D63" s="315">
        <f t="shared" si="0"/>
        <v>0</v>
      </c>
      <c r="E63" s="315">
        <f t="shared" ca="1" si="1"/>
        <v>0</v>
      </c>
      <c r="F63" s="315">
        <f t="shared" ca="1" si="2"/>
        <v>0</v>
      </c>
      <c r="G63" s="316">
        <f t="shared" ca="1" si="3"/>
        <v>0</v>
      </c>
      <c r="H63" s="231"/>
    </row>
    <row r="64" spans="2:8" x14ac:dyDescent="0.2">
      <c r="B64" s="233">
        <v>42</v>
      </c>
      <c r="C64" s="317">
        <f t="shared" ca="1" si="4"/>
        <v>0</v>
      </c>
      <c r="D64" s="315">
        <f t="shared" si="0"/>
        <v>0</v>
      </c>
      <c r="E64" s="315">
        <f t="shared" ca="1" si="1"/>
        <v>0</v>
      </c>
      <c r="F64" s="315">
        <f t="shared" ca="1" si="2"/>
        <v>0</v>
      </c>
      <c r="G64" s="316">
        <f t="shared" ca="1" si="3"/>
        <v>0</v>
      </c>
      <c r="H64" s="231"/>
    </row>
    <row r="65" spans="2:8" x14ac:dyDescent="0.2">
      <c r="B65" s="233">
        <v>43</v>
      </c>
      <c r="C65" s="317">
        <f t="shared" ca="1" si="4"/>
        <v>0</v>
      </c>
      <c r="D65" s="315">
        <f t="shared" si="0"/>
        <v>0</v>
      </c>
      <c r="E65" s="315">
        <f t="shared" ca="1" si="1"/>
        <v>0</v>
      </c>
      <c r="F65" s="315">
        <f t="shared" ca="1" si="2"/>
        <v>0</v>
      </c>
      <c r="G65" s="316">
        <f t="shared" ca="1" si="3"/>
        <v>0</v>
      </c>
      <c r="H65" s="231"/>
    </row>
    <row r="66" spans="2:8" x14ac:dyDescent="0.2">
      <c r="B66" s="233">
        <v>44</v>
      </c>
      <c r="C66" s="317">
        <f t="shared" ca="1" si="4"/>
        <v>0</v>
      </c>
      <c r="D66" s="315">
        <f t="shared" si="0"/>
        <v>0</v>
      </c>
      <c r="E66" s="315">
        <f t="shared" ca="1" si="1"/>
        <v>0</v>
      </c>
      <c r="F66" s="315">
        <f t="shared" ca="1" si="2"/>
        <v>0</v>
      </c>
      <c r="G66" s="316">
        <f t="shared" ca="1" si="3"/>
        <v>0</v>
      </c>
      <c r="H66" s="231"/>
    </row>
    <row r="67" spans="2:8" x14ac:dyDescent="0.2">
      <c r="B67" s="233">
        <v>45</v>
      </c>
      <c r="C67" s="317">
        <f t="shared" ca="1" si="4"/>
        <v>0</v>
      </c>
      <c r="D67" s="315">
        <f t="shared" si="0"/>
        <v>0</v>
      </c>
      <c r="E67" s="315">
        <f t="shared" ca="1" si="1"/>
        <v>0</v>
      </c>
      <c r="F67" s="315">
        <f t="shared" ca="1" si="2"/>
        <v>0</v>
      </c>
      <c r="G67" s="316">
        <f t="shared" ca="1" si="3"/>
        <v>0</v>
      </c>
      <c r="H67" s="231"/>
    </row>
    <row r="68" spans="2:8" x14ac:dyDescent="0.2">
      <c r="B68" s="233">
        <v>46</v>
      </c>
      <c r="C68" s="317">
        <f t="shared" ca="1" si="4"/>
        <v>0</v>
      </c>
      <c r="D68" s="315">
        <f t="shared" si="0"/>
        <v>0</v>
      </c>
      <c r="E68" s="315">
        <f t="shared" ca="1" si="1"/>
        <v>0</v>
      </c>
      <c r="F68" s="315">
        <f t="shared" ca="1" si="2"/>
        <v>0</v>
      </c>
      <c r="G68" s="316">
        <f t="shared" ca="1" si="3"/>
        <v>0</v>
      </c>
      <c r="H68" s="231"/>
    </row>
    <row r="69" spans="2:8" x14ac:dyDescent="0.2">
      <c r="B69" s="233">
        <v>47</v>
      </c>
      <c r="C69" s="317">
        <f t="shared" ca="1" si="4"/>
        <v>0</v>
      </c>
      <c r="D69" s="315">
        <f t="shared" si="0"/>
        <v>0</v>
      </c>
      <c r="E69" s="315">
        <f t="shared" ca="1" si="1"/>
        <v>0</v>
      </c>
      <c r="F69" s="315">
        <f t="shared" ca="1" si="2"/>
        <v>0</v>
      </c>
      <c r="G69" s="316">
        <f t="shared" ca="1" si="3"/>
        <v>0</v>
      </c>
      <c r="H69" s="231"/>
    </row>
    <row r="70" spans="2:8" x14ac:dyDescent="0.2">
      <c r="B70" s="233">
        <v>48</v>
      </c>
      <c r="C70" s="317">
        <f t="shared" ca="1" si="4"/>
        <v>0</v>
      </c>
      <c r="D70" s="315">
        <f t="shared" si="0"/>
        <v>0</v>
      </c>
      <c r="E70" s="315">
        <f t="shared" ca="1" si="1"/>
        <v>0</v>
      </c>
      <c r="F70" s="315">
        <f t="shared" ca="1" si="2"/>
        <v>0</v>
      </c>
      <c r="G70" s="316">
        <f t="shared" ca="1" si="3"/>
        <v>0</v>
      </c>
      <c r="H70" s="231"/>
    </row>
    <row r="71" spans="2:8" x14ac:dyDescent="0.2">
      <c r="B71" s="233">
        <v>49</v>
      </c>
      <c r="C71" s="317">
        <f t="shared" ca="1" si="4"/>
        <v>0</v>
      </c>
      <c r="D71" s="315">
        <f t="shared" si="0"/>
        <v>0</v>
      </c>
      <c r="E71" s="315">
        <f t="shared" ca="1" si="1"/>
        <v>0</v>
      </c>
      <c r="F71" s="315">
        <f t="shared" ca="1" si="2"/>
        <v>0</v>
      </c>
      <c r="G71" s="316">
        <f t="shared" ca="1" si="3"/>
        <v>0</v>
      </c>
      <c r="H71" s="231"/>
    </row>
    <row r="72" spans="2:8" x14ac:dyDescent="0.2">
      <c r="B72" s="233">
        <v>50</v>
      </c>
      <c r="C72" s="317">
        <f t="shared" ca="1" si="4"/>
        <v>0</v>
      </c>
      <c r="D72" s="315">
        <f t="shared" si="0"/>
        <v>0</v>
      </c>
      <c r="E72" s="315">
        <f t="shared" ca="1" si="1"/>
        <v>0</v>
      </c>
      <c r="F72" s="315">
        <f t="shared" ca="1" si="2"/>
        <v>0</v>
      </c>
      <c r="G72" s="316">
        <f t="shared" ca="1" si="3"/>
        <v>0</v>
      </c>
      <c r="H72" s="231"/>
    </row>
    <row r="73" spans="2:8" x14ac:dyDescent="0.2">
      <c r="B73" s="233">
        <v>51</v>
      </c>
      <c r="C73" s="317">
        <f t="shared" ca="1" si="4"/>
        <v>0</v>
      </c>
      <c r="D73" s="315">
        <f t="shared" si="0"/>
        <v>0</v>
      </c>
      <c r="E73" s="315">
        <f t="shared" ca="1" si="1"/>
        <v>0</v>
      </c>
      <c r="F73" s="315">
        <f t="shared" ca="1" si="2"/>
        <v>0</v>
      </c>
      <c r="G73" s="316">
        <f t="shared" ca="1" si="3"/>
        <v>0</v>
      </c>
      <c r="H73" s="231"/>
    </row>
    <row r="74" spans="2:8" x14ac:dyDescent="0.2">
      <c r="B74" s="233">
        <v>52</v>
      </c>
      <c r="C74" s="317">
        <f t="shared" ca="1" si="4"/>
        <v>0</v>
      </c>
      <c r="D74" s="315">
        <f t="shared" si="0"/>
        <v>0</v>
      </c>
      <c r="E74" s="315">
        <f t="shared" ca="1" si="1"/>
        <v>0</v>
      </c>
      <c r="F74" s="315">
        <f t="shared" ca="1" si="2"/>
        <v>0</v>
      </c>
      <c r="G74" s="316">
        <f t="shared" ca="1" si="3"/>
        <v>0</v>
      </c>
      <c r="H74" s="231"/>
    </row>
    <row r="75" spans="2:8" x14ac:dyDescent="0.2">
      <c r="B75" s="233">
        <v>53</v>
      </c>
      <c r="C75" s="317">
        <f t="shared" ca="1" si="4"/>
        <v>0</v>
      </c>
      <c r="D75" s="315">
        <f t="shared" si="0"/>
        <v>0</v>
      </c>
      <c r="E75" s="315">
        <f t="shared" ca="1" si="1"/>
        <v>0</v>
      </c>
      <c r="F75" s="315">
        <f t="shared" ca="1" si="2"/>
        <v>0</v>
      </c>
      <c r="G75" s="316">
        <f t="shared" ca="1" si="3"/>
        <v>0</v>
      </c>
      <c r="H75" s="231"/>
    </row>
    <row r="76" spans="2:8" x14ac:dyDescent="0.2">
      <c r="B76" s="233">
        <v>54</v>
      </c>
      <c r="C76" s="317">
        <f t="shared" ca="1" si="4"/>
        <v>0</v>
      </c>
      <c r="D76" s="315">
        <f t="shared" si="0"/>
        <v>0</v>
      </c>
      <c r="E76" s="315">
        <f t="shared" ca="1" si="1"/>
        <v>0</v>
      </c>
      <c r="F76" s="315">
        <f t="shared" ca="1" si="2"/>
        <v>0</v>
      </c>
      <c r="G76" s="316">
        <f t="shared" ca="1" si="3"/>
        <v>0</v>
      </c>
      <c r="H76" s="231"/>
    </row>
    <row r="77" spans="2:8" x14ac:dyDescent="0.2">
      <c r="B77" s="233">
        <v>55</v>
      </c>
      <c r="C77" s="317">
        <f t="shared" ca="1" si="4"/>
        <v>0</v>
      </c>
      <c r="D77" s="315">
        <f t="shared" si="0"/>
        <v>0</v>
      </c>
      <c r="E77" s="315">
        <f t="shared" ca="1" si="1"/>
        <v>0</v>
      </c>
      <c r="F77" s="315">
        <f t="shared" ca="1" si="2"/>
        <v>0</v>
      </c>
      <c r="G77" s="316">
        <f t="shared" ca="1" si="3"/>
        <v>0</v>
      </c>
      <c r="H77" s="231"/>
    </row>
    <row r="78" spans="2:8" x14ac:dyDescent="0.2">
      <c r="B78" s="233">
        <v>56</v>
      </c>
      <c r="C78" s="317">
        <f t="shared" ca="1" si="4"/>
        <v>0</v>
      </c>
      <c r="D78" s="315">
        <f t="shared" si="0"/>
        <v>0</v>
      </c>
      <c r="E78" s="315">
        <f t="shared" ca="1" si="1"/>
        <v>0</v>
      </c>
      <c r="F78" s="315">
        <f t="shared" ca="1" si="2"/>
        <v>0</v>
      </c>
      <c r="G78" s="316">
        <f t="shared" ca="1" si="3"/>
        <v>0</v>
      </c>
      <c r="H78" s="231"/>
    </row>
    <row r="79" spans="2:8" x14ac:dyDescent="0.2">
      <c r="B79" s="233">
        <v>57</v>
      </c>
      <c r="C79" s="317">
        <f t="shared" ca="1" si="4"/>
        <v>0</v>
      </c>
      <c r="D79" s="315">
        <f t="shared" si="0"/>
        <v>0</v>
      </c>
      <c r="E79" s="315">
        <f t="shared" ca="1" si="1"/>
        <v>0</v>
      </c>
      <c r="F79" s="315">
        <f t="shared" ca="1" si="2"/>
        <v>0</v>
      </c>
      <c r="G79" s="316">
        <f t="shared" ca="1" si="3"/>
        <v>0</v>
      </c>
      <c r="H79" s="231"/>
    </row>
    <row r="80" spans="2:8" x14ac:dyDescent="0.2">
      <c r="B80" s="233">
        <v>58</v>
      </c>
      <c r="C80" s="317">
        <f t="shared" ca="1" si="4"/>
        <v>0</v>
      </c>
      <c r="D80" s="315">
        <f t="shared" si="0"/>
        <v>0</v>
      </c>
      <c r="E80" s="315">
        <f t="shared" ca="1" si="1"/>
        <v>0</v>
      </c>
      <c r="F80" s="315">
        <f t="shared" ca="1" si="2"/>
        <v>0</v>
      </c>
      <c r="G80" s="316">
        <f t="shared" ca="1" si="3"/>
        <v>0</v>
      </c>
      <c r="H80" s="231"/>
    </row>
    <row r="81" spans="2:8" x14ac:dyDescent="0.2">
      <c r="B81" s="233">
        <v>59</v>
      </c>
      <c r="C81" s="317">
        <f t="shared" ca="1" si="4"/>
        <v>0</v>
      </c>
      <c r="D81" s="315">
        <f t="shared" si="0"/>
        <v>0</v>
      </c>
      <c r="E81" s="315">
        <f t="shared" ca="1" si="1"/>
        <v>0</v>
      </c>
      <c r="F81" s="315">
        <f t="shared" ca="1" si="2"/>
        <v>0</v>
      </c>
      <c r="G81" s="316">
        <f t="shared" ca="1" si="3"/>
        <v>0</v>
      </c>
      <c r="H81" s="231"/>
    </row>
    <row r="82" spans="2:8" x14ac:dyDescent="0.2">
      <c r="B82" s="233">
        <v>60</v>
      </c>
      <c r="C82" s="317">
        <f t="shared" ca="1" si="4"/>
        <v>0</v>
      </c>
      <c r="D82" s="315">
        <f t="shared" si="0"/>
        <v>0</v>
      </c>
      <c r="E82" s="315">
        <f t="shared" ca="1" si="1"/>
        <v>0</v>
      </c>
      <c r="F82" s="315">
        <f t="shared" ca="1" si="2"/>
        <v>0</v>
      </c>
      <c r="G82" s="316">
        <f t="shared" ca="1" si="3"/>
        <v>0</v>
      </c>
      <c r="H82" s="231"/>
    </row>
    <row r="83" spans="2:8" x14ac:dyDescent="0.2">
      <c r="B83" s="233">
        <v>61</v>
      </c>
      <c r="C83" s="317">
        <f t="shared" ca="1" si="4"/>
        <v>0</v>
      </c>
      <c r="D83" s="315">
        <f t="shared" si="0"/>
        <v>0</v>
      </c>
      <c r="E83" s="315">
        <f t="shared" ca="1" si="1"/>
        <v>0</v>
      </c>
      <c r="F83" s="315">
        <f t="shared" ca="1" si="2"/>
        <v>0</v>
      </c>
      <c r="G83" s="316">
        <f t="shared" ca="1" si="3"/>
        <v>0</v>
      </c>
      <c r="H83" s="231"/>
    </row>
    <row r="84" spans="2:8" x14ac:dyDescent="0.2">
      <c r="B84" s="233">
        <v>62</v>
      </c>
      <c r="C84" s="317">
        <f t="shared" ca="1" si="4"/>
        <v>0</v>
      </c>
      <c r="D84" s="315">
        <f t="shared" si="0"/>
        <v>0</v>
      </c>
      <c r="E84" s="315">
        <f t="shared" ca="1" si="1"/>
        <v>0</v>
      </c>
      <c r="F84" s="315">
        <f t="shared" ca="1" si="2"/>
        <v>0</v>
      </c>
      <c r="G84" s="316">
        <f t="shared" ca="1" si="3"/>
        <v>0</v>
      </c>
      <c r="H84" s="231"/>
    </row>
    <row r="85" spans="2:8" x14ac:dyDescent="0.2">
      <c r="B85" s="233">
        <v>63</v>
      </c>
      <c r="C85" s="317">
        <f t="shared" ca="1" si="4"/>
        <v>0</v>
      </c>
      <c r="D85" s="315">
        <f t="shared" si="0"/>
        <v>0</v>
      </c>
      <c r="E85" s="315">
        <f t="shared" ca="1" si="1"/>
        <v>0</v>
      </c>
      <c r="F85" s="315">
        <f t="shared" ca="1" si="2"/>
        <v>0</v>
      </c>
      <c r="G85" s="316">
        <f t="shared" ca="1" si="3"/>
        <v>0</v>
      </c>
      <c r="H85" s="231"/>
    </row>
    <row r="86" spans="2:8" x14ac:dyDescent="0.2">
      <c r="B86" s="233">
        <v>64</v>
      </c>
      <c r="C86" s="317">
        <f t="shared" ca="1" si="4"/>
        <v>0</v>
      </c>
      <c r="D86" s="315">
        <f t="shared" si="0"/>
        <v>0</v>
      </c>
      <c r="E86" s="315">
        <f t="shared" ca="1" si="1"/>
        <v>0</v>
      </c>
      <c r="F86" s="315">
        <f t="shared" ca="1" si="2"/>
        <v>0</v>
      </c>
      <c r="G86" s="316">
        <f t="shared" ca="1" si="3"/>
        <v>0</v>
      </c>
      <c r="H86" s="231"/>
    </row>
    <row r="87" spans="2:8" x14ac:dyDescent="0.2">
      <c r="B87" s="233">
        <v>65</v>
      </c>
      <c r="C87" s="317">
        <f t="shared" ca="1" si="4"/>
        <v>0</v>
      </c>
      <c r="D87" s="315">
        <f t="shared" si="0"/>
        <v>0</v>
      </c>
      <c r="E87" s="315">
        <f t="shared" ca="1" si="1"/>
        <v>0</v>
      </c>
      <c r="F87" s="315">
        <f t="shared" ca="1" si="2"/>
        <v>0</v>
      </c>
      <c r="G87" s="316">
        <f t="shared" ca="1" si="3"/>
        <v>0</v>
      </c>
      <c r="H87" s="231"/>
    </row>
    <row r="88" spans="2:8" x14ac:dyDescent="0.2">
      <c r="B88" s="233">
        <v>66</v>
      </c>
      <c r="C88" s="317">
        <f t="shared" ca="1" si="4"/>
        <v>0</v>
      </c>
      <c r="D88" s="315">
        <f t="shared" ref="D88:D142" si="5">IF((IF($B88&lt;=$C$17,(CHOOSE($N$9,IF(B88&lt;=$C$15,F88,-PMT($C$9/$C$16,$C$17-$C$15,$C$8)),-PMT($C$9/$C$16,$C$17,$C$8))),0))&lt;1,0,(IF($B88&lt;=$C$17,(CHOOSE($N$9,IF(B88&lt;=$C$15,F88,-PMT($C$9/$C$16,$C$17-$C$15,$C$8)),-PMT($C$9/$C$16,$C$17,$C$8))),0)))</f>
        <v>0</v>
      </c>
      <c r="E88" s="315">
        <f t="shared" ref="E88:E142" ca="1" si="6">IF(((D88-F88)&lt;1),0,(D88-F88))</f>
        <v>0</v>
      </c>
      <c r="F88" s="315">
        <f t="shared" ref="F88:F142" ca="1" si="7">IF(((C88*$C$9/$C$16)&lt;1),0,(C88*$C$9/$C$16))</f>
        <v>0</v>
      </c>
      <c r="G88" s="316">
        <f t="shared" ref="G88:G142" ca="1" si="8">IF(((C88-E88)&lt;1),0,(C88-E88))</f>
        <v>0</v>
      </c>
      <c r="H88" s="231"/>
    </row>
    <row r="89" spans="2:8" x14ac:dyDescent="0.2">
      <c r="B89" s="233">
        <v>67</v>
      </c>
      <c r="C89" s="317">
        <f t="shared" ref="C89:C142" ca="1" si="9">G88</f>
        <v>0</v>
      </c>
      <c r="D89" s="315">
        <f t="shared" si="5"/>
        <v>0</v>
      </c>
      <c r="E89" s="315">
        <f t="shared" ca="1" si="6"/>
        <v>0</v>
      </c>
      <c r="F89" s="315">
        <f t="shared" ca="1" si="7"/>
        <v>0</v>
      </c>
      <c r="G89" s="316">
        <f t="shared" ca="1" si="8"/>
        <v>0</v>
      </c>
      <c r="H89" s="231"/>
    </row>
    <row r="90" spans="2:8" x14ac:dyDescent="0.2">
      <c r="B90" s="233">
        <v>68</v>
      </c>
      <c r="C90" s="317">
        <f t="shared" ca="1" si="9"/>
        <v>0</v>
      </c>
      <c r="D90" s="315">
        <f t="shared" si="5"/>
        <v>0</v>
      </c>
      <c r="E90" s="315">
        <f t="shared" ca="1" si="6"/>
        <v>0</v>
      </c>
      <c r="F90" s="315">
        <f t="shared" ca="1" si="7"/>
        <v>0</v>
      </c>
      <c r="G90" s="316">
        <f t="shared" ca="1" si="8"/>
        <v>0</v>
      </c>
      <c r="H90" s="231"/>
    </row>
    <row r="91" spans="2:8" x14ac:dyDescent="0.2">
      <c r="B91" s="233">
        <v>69</v>
      </c>
      <c r="C91" s="317">
        <f t="shared" ca="1" si="9"/>
        <v>0</v>
      </c>
      <c r="D91" s="315">
        <f t="shared" si="5"/>
        <v>0</v>
      </c>
      <c r="E91" s="315">
        <f t="shared" ca="1" si="6"/>
        <v>0</v>
      </c>
      <c r="F91" s="315">
        <f t="shared" ca="1" si="7"/>
        <v>0</v>
      </c>
      <c r="G91" s="316">
        <f t="shared" ca="1" si="8"/>
        <v>0</v>
      </c>
      <c r="H91" s="231"/>
    </row>
    <row r="92" spans="2:8" x14ac:dyDescent="0.2">
      <c r="B92" s="233">
        <v>70</v>
      </c>
      <c r="C92" s="317">
        <f t="shared" ca="1" si="9"/>
        <v>0</v>
      </c>
      <c r="D92" s="315">
        <f t="shared" si="5"/>
        <v>0</v>
      </c>
      <c r="E92" s="315">
        <f t="shared" ca="1" si="6"/>
        <v>0</v>
      </c>
      <c r="F92" s="315">
        <f t="shared" ca="1" si="7"/>
        <v>0</v>
      </c>
      <c r="G92" s="316">
        <f t="shared" ca="1" si="8"/>
        <v>0</v>
      </c>
      <c r="H92" s="231"/>
    </row>
    <row r="93" spans="2:8" x14ac:dyDescent="0.2">
      <c r="B93" s="233">
        <v>71</v>
      </c>
      <c r="C93" s="317">
        <f t="shared" ca="1" si="9"/>
        <v>0</v>
      </c>
      <c r="D93" s="315">
        <f t="shared" si="5"/>
        <v>0</v>
      </c>
      <c r="E93" s="315">
        <f t="shared" ca="1" si="6"/>
        <v>0</v>
      </c>
      <c r="F93" s="315">
        <f t="shared" ca="1" si="7"/>
        <v>0</v>
      </c>
      <c r="G93" s="316">
        <f t="shared" ca="1" si="8"/>
        <v>0</v>
      </c>
      <c r="H93" s="231"/>
    </row>
    <row r="94" spans="2:8" x14ac:dyDescent="0.2">
      <c r="B94" s="233">
        <v>72</v>
      </c>
      <c r="C94" s="317">
        <f t="shared" ca="1" si="9"/>
        <v>0</v>
      </c>
      <c r="D94" s="315">
        <f t="shared" si="5"/>
        <v>0</v>
      </c>
      <c r="E94" s="315">
        <f t="shared" ca="1" si="6"/>
        <v>0</v>
      </c>
      <c r="F94" s="315">
        <f t="shared" ca="1" si="7"/>
        <v>0</v>
      </c>
      <c r="G94" s="316">
        <f t="shared" ca="1" si="8"/>
        <v>0</v>
      </c>
      <c r="H94" s="231"/>
    </row>
    <row r="95" spans="2:8" x14ac:dyDescent="0.2">
      <c r="B95" s="233">
        <v>73</v>
      </c>
      <c r="C95" s="317">
        <f t="shared" ca="1" si="9"/>
        <v>0</v>
      </c>
      <c r="D95" s="315">
        <f t="shared" si="5"/>
        <v>0</v>
      </c>
      <c r="E95" s="315">
        <f t="shared" ca="1" si="6"/>
        <v>0</v>
      </c>
      <c r="F95" s="315">
        <f t="shared" ca="1" si="7"/>
        <v>0</v>
      </c>
      <c r="G95" s="316">
        <f t="shared" ca="1" si="8"/>
        <v>0</v>
      </c>
      <c r="H95" s="231"/>
    </row>
    <row r="96" spans="2:8" x14ac:dyDescent="0.2">
      <c r="B96" s="233">
        <v>74</v>
      </c>
      <c r="C96" s="317">
        <f t="shared" ca="1" si="9"/>
        <v>0</v>
      </c>
      <c r="D96" s="315">
        <f t="shared" si="5"/>
        <v>0</v>
      </c>
      <c r="E96" s="315">
        <f t="shared" ca="1" si="6"/>
        <v>0</v>
      </c>
      <c r="F96" s="315">
        <f t="shared" ca="1" si="7"/>
        <v>0</v>
      </c>
      <c r="G96" s="316">
        <f t="shared" ca="1" si="8"/>
        <v>0</v>
      </c>
      <c r="H96" s="231"/>
    </row>
    <row r="97" spans="2:8" x14ac:dyDescent="0.2">
      <c r="B97" s="233">
        <v>75</v>
      </c>
      <c r="C97" s="317">
        <f t="shared" ca="1" si="9"/>
        <v>0</v>
      </c>
      <c r="D97" s="315">
        <f t="shared" si="5"/>
        <v>0</v>
      </c>
      <c r="E97" s="315">
        <f t="shared" ca="1" si="6"/>
        <v>0</v>
      </c>
      <c r="F97" s="315">
        <f t="shared" ca="1" si="7"/>
        <v>0</v>
      </c>
      <c r="G97" s="316">
        <f t="shared" ca="1" si="8"/>
        <v>0</v>
      </c>
      <c r="H97" s="231"/>
    </row>
    <row r="98" spans="2:8" x14ac:dyDescent="0.2">
      <c r="B98" s="233">
        <v>76</v>
      </c>
      <c r="C98" s="317">
        <f t="shared" ca="1" si="9"/>
        <v>0</v>
      </c>
      <c r="D98" s="315">
        <f t="shared" si="5"/>
        <v>0</v>
      </c>
      <c r="E98" s="315">
        <f t="shared" ca="1" si="6"/>
        <v>0</v>
      </c>
      <c r="F98" s="315">
        <f t="shared" ca="1" si="7"/>
        <v>0</v>
      </c>
      <c r="G98" s="316">
        <f t="shared" ca="1" si="8"/>
        <v>0</v>
      </c>
      <c r="H98" s="231"/>
    </row>
    <row r="99" spans="2:8" x14ac:dyDescent="0.2">
      <c r="B99" s="233">
        <v>77</v>
      </c>
      <c r="C99" s="317">
        <f t="shared" ca="1" si="9"/>
        <v>0</v>
      </c>
      <c r="D99" s="315">
        <f t="shared" si="5"/>
        <v>0</v>
      </c>
      <c r="E99" s="315">
        <f t="shared" ca="1" si="6"/>
        <v>0</v>
      </c>
      <c r="F99" s="315">
        <f t="shared" ca="1" si="7"/>
        <v>0</v>
      </c>
      <c r="G99" s="316">
        <f t="shared" ca="1" si="8"/>
        <v>0</v>
      </c>
      <c r="H99" s="231"/>
    </row>
    <row r="100" spans="2:8" x14ac:dyDescent="0.2">
      <c r="B100" s="233">
        <v>78</v>
      </c>
      <c r="C100" s="317">
        <f t="shared" ca="1" si="9"/>
        <v>0</v>
      </c>
      <c r="D100" s="315">
        <f t="shared" si="5"/>
        <v>0</v>
      </c>
      <c r="E100" s="315">
        <f t="shared" ca="1" si="6"/>
        <v>0</v>
      </c>
      <c r="F100" s="315">
        <f t="shared" ca="1" si="7"/>
        <v>0</v>
      </c>
      <c r="G100" s="316">
        <f t="shared" ca="1" si="8"/>
        <v>0</v>
      </c>
      <c r="H100" s="231"/>
    </row>
    <row r="101" spans="2:8" x14ac:dyDescent="0.2">
      <c r="B101" s="233">
        <v>79</v>
      </c>
      <c r="C101" s="317">
        <f t="shared" ca="1" si="9"/>
        <v>0</v>
      </c>
      <c r="D101" s="315">
        <f t="shared" si="5"/>
        <v>0</v>
      </c>
      <c r="E101" s="315">
        <f t="shared" ca="1" si="6"/>
        <v>0</v>
      </c>
      <c r="F101" s="315">
        <f t="shared" ca="1" si="7"/>
        <v>0</v>
      </c>
      <c r="G101" s="316">
        <f t="shared" ca="1" si="8"/>
        <v>0</v>
      </c>
      <c r="H101" s="231"/>
    </row>
    <row r="102" spans="2:8" x14ac:dyDescent="0.2">
      <c r="B102" s="233">
        <v>80</v>
      </c>
      <c r="C102" s="317">
        <f t="shared" ca="1" si="9"/>
        <v>0</v>
      </c>
      <c r="D102" s="315">
        <f t="shared" si="5"/>
        <v>0</v>
      </c>
      <c r="E102" s="315">
        <f t="shared" ca="1" si="6"/>
        <v>0</v>
      </c>
      <c r="F102" s="315">
        <f t="shared" ca="1" si="7"/>
        <v>0</v>
      </c>
      <c r="G102" s="316">
        <f t="shared" ca="1" si="8"/>
        <v>0</v>
      </c>
      <c r="H102" s="231"/>
    </row>
    <row r="103" spans="2:8" x14ac:dyDescent="0.2">
      <c r="B103" s="233">
        <v>81</v>
      </c>
      <c r="C103" s="317">
        <f t="shared" ca="1" si="9"/>
        <v>0</v>
      </c>
      <c r="D103" s="315">
        <f t="shared" si="5"/>
        <v>0</v>
      </c>
      <c r="E103" s="315">
        <f t="shared" ca="1" si="6"/>
        <v>0</v>
      </c>
      <c r="F103" s="315">
        <f t="shared" ca="1" si="7"/>
        <v>0</v>
      </c>
      <c r="G103" s="316">
        <f t="shared" ca="1" si="8"/>
        <v>0</v>
      </c>
      <c r="H103" s="231"/>
    </row>
    <row r="104" spans="2:8" x14ac:dyDescent="0.2">
      <c r="B104" s="233">
        <v>82</v>
      </c>
      <c r="C104" s="317">
        <f t="shared" ca="1" si="9"/>
        <v>0</v>
      </c>
      <c r="D104" s="315">
        <f t="shared" si="5"/>
        <v>0</v>
      </c>
      <c r="E104" s="315">
        <f t="shared" ca="1" si="6"/>
        <v>0</v>
      </c>
      <c r="F104" s="315">
        <f t="shared" ca="1" si="7"/>
        <v>0</v>
      </c>
      <c r="G104" s="316">
        <f t="shared" ca="1" si="8"/>
        <v>0</v>
      </c>
      <c r="H104" s="231"/>
    </row>
    <row r="105" spans="2:8" x14ac:dyDescent="0.2">
      <c r="B105" s="233">
        <v>83</v>
      </c>
      <c r="C105" s="317">
        <f t="shared" ca="1" si="9"/>
        <v>0</v>
      </c>
      <c r="D105" s="315">
        <f t="shared" si="5"/>
        <v>0</v>
      </c>
      <c r="E105" s="315">
        <f t="shared" ca="1" si="6"/>
        <v>0</v>
      </c>
      <c r="F105" s="315">
        <f t="shared" ca="1" si="7"/>
        <v>0</v>
      </c>
      <c r="G105" s="316">
        <f t="shared" ca="1" si="8"/>
        <v>0</v>
      </c>
      <c r="H105" s="231"/>
    </row>
    <row r="106" spans="2:8" x14ac:dyDescent="0.2">
      <c r="B106" s="233">
        <v>84</v>
      </c>
      <c r="C106" s="317">
        <f t="shared" ca="1" si="9"/>
        <v>0</v>
      </c>
      <c r="D106" s="315">
        <f t="shared" si="5"/>
        <v>0</v>
      </c>
      <c r="E106" s="315">
        <f t="shared" ca="1" si="6"/>
        <v>0</v>
      </c>
      <c r="F106" s="315">
        <f t="shared" ca="1" si="7"/>
        <v>0</v>
      </c>
      <c r="G106" s="316">
        <f t="shared" ca="1" si="8"/>
        <v>0</v>
      </c>
      <c r="H106" s="231"/>
    </row>
    <row r="107" spans="2:8" x14ac:dyDescent="0.2">
      <c r="B107" s="233">
        <v>85</v>
      </c>
      <c r="C107" s="317">
        <f t="shared" ca="1" si="9"/>
        <v>0</v>
      </c>
      <c r="D107" s="315">
        <f t="shared" si="5"/>
        <v>0</v>
      </c>
      <c r="E107" s="315">
        <f t="shared" ca="1" si="6"/>
        <v>0</v>
      </c>
      <c r="F107" s="315">
        <f t="shared" ca="1" si="7"/>
        <v>0</v>
      </c>
      <c r="G107" s="316">
        <f t="shared" ca="1" si="8"/>
        <v>0</v>
      </c>
      <c r="H107" s="231"/>
    </row>
    <row r="108" spans="2:8" x14ac:dyDescent="0.2">
      <c r="B108" s="233">
        <v>86</v>
      </c>
      <c r="C108" s="317">
        <f t="shared" ca="1" si="9"/>
        <v>0</v>
      </c>
      <c r="D108" s="315">
        <f t="shared" si="5"/>
        <v>0</v>
      </c>
      <c r="E108" s="315">
        <f t="shared" ca="1" si="6"/>
        <v>0</v>
      </c>
      <c r="F108" s="315">
        <f t="shared" ca="1" si="7"/>
        <v>0</v>
      </c>
      <c r="G108" s="316">
        <f t="shared" ca="1" si="8"/>
        <v>0</v>
      </c>
      <c r="H108" s="231"/>
    </row>
    <row r="109" spans="2:8" x14ac:dyDescent="0.2">
      <c r="B109" s="233">
        <v>87</v>
      </c>
      <c r="C109" s="317">
        <f t="shared" ca="1" si="9"/>
        <v>0</v>
      </c>
      <c r="D109" s="315">
        <f t="shared" si="5"/>
        <v>0</v>
      </c>
      <c r="E109" s="315">
        <f t="shared" ca="1" si="6"/>
        <v>0</v>
      </c>
      <c r="F109" s="315">
        <f t="shared" ca="1" si="7"/>
        <v>0</v>
      </c>
      <c r="G109" s="316">
        <f t="shared" ca="1" si="8"/>
        <v>0</v>
      </c>
      <c r="H109" s="231"/>
    </row>
    <row r="110" spans="2:8" x14ac:dyDescent="0.2">
      <c r="B110" s="233">
        <v>88</v>
      </c>
      <c r="C110" s="317">
        <f t="shared" ca="1" si="9"/>
        <v>0</v>
      </c>
      <c r="D110" s="315">
        <f t="shared" si="5"/>
        <v>0</v>
      </c>
      <c r="E110" s="315">
        <f t="shared" ca="1" si="6"/>
        <v>0</v>
      </c>
      <c r="F110" s="315">
        <f t="shared" ca="1" si="7"/>
        <v>0</v>
      </c>
      <c r="G110" s="316">
        <f t="shared" ca="1" si="8"/>
        <v>0</v>
      </c>
      <c r="H110" s="231"/>
    </row>
    <row r="111" spans="2:8" x14ac:dyDescent="0.2">
      <c r="B111" s="233">
        <v>89</v>
      </c>
      <c r="C111" s="317">
        <f t="shared" ca="1" si="9"/>
        <v>0</v>
      </c>
      <c r="D111" s="315">
        <f t="shared" si="5"/>
        <v>0</v>
      </c>
      <c r="E111" s="315">
        <f t="shared" ca="1" si="6"/>
        <v>0</v>
      </c>
      <c r="F111" s="315">
        <f t="shared" ca="1" si="7"/>
        <v>0</v>
      </c>
      <c r="G111" s="316">
        <f t="shared" ca="1" si="8"/>
        <v>0</v>
      </c>
      <c r="H111" s="231"/>
    </row>
    <row r="112" spans="2:8" x14ac:dyDescent="0.2">
      <c r="B112" s="233">
        <v>90</v>
      </c>
      <c r="C112" s="317">
        <f t="shared" ca="1" si="9"/>
        <v>0</v>
      </c>
      <c r="D112" s="315">
        <f t="shared" si="5"/>
        <v>0</v>
      </c>
      <c r="E112" s="315">
        <f t="shared" ca="1" si="6"/>
        <v>0</v>
      </c>
      <c r="F112" s="315">
        <f t="shared" ca="1" si="7"/>
        <v>0</v>
      </c>
      <c r="G112" s="316">
        <f t="shared" ca="1" si="8"/>
        <v>0</v>
      </c>
      <c r="H112" s="231"/>
    </row>
    <row r="113" spans="2:8" x14ac:dyDescent="0.2">
      <c r="B113" s="233">
        <v>91</v>
      </c>
      <c r="C113" s="317">
        <f t="shared" ca="1" si="9"/>
        <v>0</v>
      </c>
      <c r="D113" s="315">
        <f t="shared" si="5"/>
        <v>0</v>
      </c>
      <c r="E113" s="315">
        <f t="shared" ca="1" si="6"/>
        <v>0</v>
      </c>
      <c r="F113" s="315">
        <f t="shared" ca="1" si="7"/>
        <v>0</v>
      </c>
      <c r="G113" s="316">
        <f t="shared" ca="1" si="8"/>
        <v>0</v>
      </c>
      <c r="H113" s="231"/>
    </row>
    <row r="114" spans="2:8" x14ac:dyDescent="0.2">
      <c r="B114" s="233">
        <v>92</v>
      </c>
      <c r="C114" s="317">
        <f t="shared" ca="1" si="9"/>
        <v>0</v>
      </c>
      <c r="D114" s="315">
        <f t="shared" si="5"/>
        <v>0</v>
      </c>
      <c r="E114" s="315">
        <f t="shared" ca="1" si="6"/>
        <v>0</v>
      </c>
      <c r="F114" s="315">
        <f t="shared" ca="1" si="7"/>
        <v>0</v>
      </c>
      <c r="G114" s="316">
        <f t="shared" ca="1" si="8"/>
        <v>0</v>
      </c>
      <c r="H114" s="231"/>
    </row>
    <row r="115" spans="2:8" x14ac:dyDescent="0.2">
      <c r="B115" s="233">
        <v>93</v>
      </c>
      <c r="C115" s="317">
        <f t="shared" ca="1" si="9"/>
        <v>0</v>
      </c>
      <c r="D115" s="315">
        <f t="shared" si="5"/>
        <v>0</v>
      </c>
      <c r="E115" s="315">
        <f t="shared" ca="1" si="6"/>
        <v>0</v>
      </c>
      <c r="F115" s="315">
        <f t="shared" ca="1" si="7"/>
        <v>0</v>
      </c>
      <c r="G115" s="316">
        <f t="shared" ca="1" si="8"/>
        <v>0</v>
      </c>
      <c r="H115" s="231"/>
    </row>
    <row r="116" spans="2:8" x14ac:dyDescent="0.2">
      <c r="B116" s="233">
        <v>94</v>
      </c>
      <c r="C116" s="317">
        <f t="shared" ca="1" si="9"/>
        <v>0</v>
      </c>
      <c r="D116" s="315">
        <f t="shared" si="5"/>
        <v>0</v>
      </c>
      <c r="E116" s="315">
        <f t="shared" ca="1" si="6"/>
        <v>0</v>
      </c>
      <c r="F116" s="315">
        <f t="shared" ca="1" si="7"/>
        <v>0</v>
      </c>
      <c r="G116" s="316">
        <f t="shared" ca="1" si="8"/>
        <v>0</v>
      </c>
      <c r="H116" s="231"/>
    </row>
    <row r="117" spans="2:8" x14ac:dyDescent="0.2">
      <c r="B117" s="233">
        <v>95</v>
      </c>
      <c r="C117" s="317">
        <f t="shared" ca="1" si="9"/>
        <v>0</v>
      </c>
      <c r="D117" s="315">
        <f t="shared" si="5"/>
        <v>0</v>
      </c>
      <c r="E117" s="315">
        <f t="shared" ca="1" si="6"/>
        <v>0</v>
      </c>
      <c r="F117" s="315">
        <f t="shared" ca="1" si="7"/>
        <v>0</v>
      </c>
      <c r="G117" s="316">
        <f t="shared" ca="1" si="8"/>
        <v>0</v>
      </c>
      <c r="H117" s="231"/>
    </row>
    <row r="118" spans="2:8" x14ac:dyDescent="0.2">
      <c r="B118" s="233">
        <v>96</v>
      </c>
      <c r="C118" s="317">
        <f t="shared" ca="1" si="9"/>
        <v>0</v>
      </c>
      <c r="D118" s="315">
        <f t="shared" si="5"/>
        <v>0</v>
      </c>
      <c r="E118" s="315">
        <f t="shared" ca="1" si="6"/>
        <v>0</v>
      </c>
      <c r="F118" s="315">
        <f t="shared" ca="1" si="7"/>
        <v>0</v>
      </c>
      <c r="G118" s="316">
        <f t="shared" ca="1" si="8"/>
        <v>0</v>
      </c>
      <c r="H118" s="231"/>
    </row>
    <row r="119" spans="2:8" x14ac:dyDescent="0.2">
      <c r="B119" s="233">
        <v>97</v>
      </c>
      <c r="C119" s="317">
        <f t="shared" ca="1" si="9"/>
        <v>0</v>
      </c>
      <c r="D119" s="315">
        <f t="shared" si="5"/>
        <v>0</v>
      </c>
      <c r="E119" s="315">
        <f t="shared" ca="1" si="6"/>
        <v>0</v>
      </c>
      <c r="F119" s="315">
        <f t="shared" ca="1" si="7"/>
        <v>0</v>
      </c>
      <c r="G119" s="316">
        <f t="shared" ca="1" si="8"/>
        <v>0</v>
      </c>
      <c r="H119" s="231"/>
    </row>
    <row r="120" spans="2:8" x14ac:dyDescent="0.2">
      <c r="B120" s="233">
        <v>98</v>
      </c>
      <c r="C120" s="317">
        <f t="shared" ca="1" si="9"/>
        <v>0</v>
      </c>
      <c r="D120" s="315">
        <f t="shared" si="5"/>
        <v>0</v>
      </c>
      <c r="E120" s="315">
        <f t="shared" ca="1" si="6"/>
        <v>0</v>
      </c>
      <c r="F120" s="315">
        <f t="shared" ca="1" si="7"/>
        <v>0</v>
      </c>
      <c r="G120" s="316">
        <f t="shared" ca="1" si="8"/>
        <v>0</v>
      </c>
      <c r="H120" s="231"/>
    </row>
    <row r="121" spans="2:8" x14ac:dyDescent="0.2">
      <c r="B121" s="233">
        <v>99</v>
      </c>
      <c r="C121" s="317">
        <f t="shared" ca="1" si="9"/>
        <v>0</v>
      </c>
      <c r="D121" s="315">
        <f t="shared" si="5"/>
        <v>0</v>
      </c>
      <c r="E121" s="315">
        <f t="shared" ca="1" si="6"/>
        <v>0</v>
      </c>
      <c r="F121" s="315">
        <f t="shared" ca="1" si="7"/>
        <v>0</v>
      </c>
      <c r="G121" s="316">
        <f t="shared" ca="1" si="8"/>
        <v>0</v>
      </c>
      <c r="H121" s="231"/>
    </row>
    <row r="122" spans="2:8" x14ac:dyDescent="0.2">
      <c r="B122" s="233">
        <v>100</v>
      </c>
      <c r="C122" s="317">
        <f t="shared" ca="1" si="9"/>
        <v>0</v>
      </c>
      <c r="D122" s="315">
        <f t="shared" si="5"/>
        <v>0</v>
      </c>
      <c r="E122" s="315">
        <f t="shared" ca="1" si="6"/>
        <v>0</v>
      </c>
      <c r="F122" s="315">
        <f t="shared" ca="1" si="7"/>
        <v>0</v>
      </c>
      <c r="G122" s="316">
        <f t="shared" ca="1" si="8"/>
        <v>0</v>
      </c>
      <c r="H122" s="231"/>
    </row>
    <row r="123" spans="2:8" x14ac:dyDescent="0.2">
      <c r="B123" s="233">
        <v>101</v>
      </c>
      <c r="C123" s="317">
        <f t="shared" ca="1" si="9"/>
        <v>0</v>
      </c>
      <c r="D123" s="315">
        <f t="shared" si="5"/>
        <v>0</v>
      </c>
      <c r="E123" s="315">
        <f t="shared" ca="1" si="6"/>
        <v>0</v>
      </c>
      <c r="F123" s="315">
        <f t="shared" ca="1" si="7"/>
        <v>0</v>
      </c>
      <c r="G123" s="316">
        <f t="shared" ca="1" si="8"/>
        <v>0</v>
      </c>
      <c r="H123" s="231"/>
    </row>
    <row r="124" spans="2:8" x14ac:dyDescent="0.2">
      <c r="B124" s="233">
        <v>102</v>
      </c>
      <c r="C124" s="317">
        <f t="shared" ca="1" si="9"/>
        <v>0</v>
      </c>
      <c r="D124" s="315">
        <f t="shared" si="5"/>
        <v>0</v>
      </c>
      <c r="E124" s="315">
        <f t="shared" ca="1" si="6"/>
        <v>0</v>
      </c>
      <c r="F124" s="315">
        <f t="shared" ca="1" si="7"/>
        <v>0</v>
      </c>
      <c r="G124" s="316">
        <f t="shared" ca="1" si="8"/>
        <v>0</v>
      </c>
      <c r="H124" s="231"/>
    </row>
    <row r="125" spans="2:8" x14ac:dyDescent="0.2">
      <c r="B125" s="233">
        <v>103</v>
      </c>
      <c r="C125" s="317">
        <f t="shared" ca="1" si="9"/>
        <v>0</v>
      </c>
      <c r="D125" s="315">
        <f t="shared" si="5"/>
        <v>0</v>
      </c>
      <c r="E125" s="315">
        <f t="shared" ca="1" si="6"/>
        <v>0</v>
      </c>
      <c r="F125" s="315">
        <f t="shared" ca="1" si="7"/>
        <v>0</v>
      </c>
      <c r="G125" s="316">
        <f t="shared" ca="1" si="8"/>
        <v>0</v>
      </c>
      <c r="H125" s="231"/>
    </row>
    <row r="126" spans="2:8" x14ac:dyDescent="0.2">
      <c r="B126" s="233">
        <v>104</v>
      </c>
      <c r="C126" s="317">
        <f t="shared" ca="1" si="9"/>
        <v>0</v>
      </c>
      <c r="D126" s="315">
        <f t="shared" si="5"/>
        <v>0</v>
      </c>
      <c r="E126" s="315">
        <f t="shared" ca="1" si="6"/>
        <v>0</v>
      </c>
      <c r="F126" s="315">
        <f t="shared" ca="1" si="7"/>
        <v>0</v>
      </c>
      <c r="G126" s="316">
        <f t="shared" ca="1" si="8"/>
        <v>0</v>
      </c>
      <c r="H126" s="231"/>
    </row>
    <row r="127" spans="2:8" x14ac:dyDescent="0.2">
      <c r="B127" s="233">
        <v>105</v>
      </c>
      <c r="C127" s="317">
        <f t="shared" ca="1" si="9"/>
        <v>0</v>
      </c>
      <c r="D127" s="315">
        <f t="shared" si="5"/>
        <v>0</v>
      </c>
      <c r="E127" s="315">
        <f t="shared" ca="1" si="6"/>
        <v>0</v>
      </c>
      <c r="F127" s="315">
        <f t="shared" ca="1" si="7"/>
        <v>0</v>
      </c>
      <c r="G127" s="316">
        <f t="shared" ca="1" si="8"/>
        <v>0</v>
      </c>
      <c r="H127" s="231"/>
    </row>
    <row r="128" spans="2:8" x14ac:dyDescent="0.2">
      <c r="B128" s="233">
        <v>106</v>
      </c>
      <c r="C128" s="317">
        <f t="shared" ca="1" si="9"/>
        <v>0</v>
      </c>
      <c r="D128" s="315">
        <f t="shared" si="5"/>
        <v>0</v>
      </c>
      <c r="E128" s="315">
        <f t="shared" ca="1" si="6"/>
        <v>0</v>
      </c>
      <c r="F128" s="315">
        <f t="shared" ca="1" si="7"/>
        <v>0</v>
      </c>
      <c r="G128" s="316">
        <f t="shared" ca="1" si="8"/>
        <v>0</v>
      </c>
      <c r="H128" s="231"/>
    </row>
    <row r="129" spans="2:8" x14ac:dyDescent="0.2">
      <c r="B129" s="233">
        <v>107</v>
      </c>
      <c r="C129" s="317">
        <f t="shared" ca="1" si="9"/>
        <v>0</v>
      </c>
      <c r="D129" s="315">
        <f t="shared" si="5"/>
        <v>0</v>
      </c>
      <c r="E129" s="315">
        <f t="shared" ca="1" si="6"/>
        <v>0</v>
      </c>
      <c r="F129" s="315">
        <f t="shared" ca="1" si="7"/>
        <v>0</v>
      </c>
      <c r="G129" s="316">
        <f t="shared" ca="1" si="8"/>
        <v>0</v>
      </c>
      <c r="H129" s="231"/>
    </row>
    <row r="130" spans="2:8" x14ac:dyDescent="0.2">
      <c r="B130" s="233">
        <v>108</v>
      </c>
      <c r="C130" s="317">
        <f t="shared" ca="1" si="9"/>
        <v>0</v>
      </c>
      <c r="D130" s="315">
        <f t="shared" si="5"/>
        <v>0</v>
      </c>
      <c r="E130" s="315">
        <f t="shared" ca="1" si="6"/>
        <v>0</v>
      </c>
      <c r="F130" s="315">
        <f t="shared" ca="1" si="7"/>
        <v>0</v>
      </c>
      <c r="G130" s="316">
        <f t="shared" ca="1" si="8"/>
        <v>0</v>
      </c>
      <c r="H130" s="231"/>
    </row>
    <row r="131" spans="2:8" x14ac:dyDescent="0.2">
      <c r="B131" s="233">
        <v>109</v>
      </c>
      <c r="C131" s="317">
        <f t="shared" ca="1" si="9"/>
        <v>0</v>
      </c>
      <c r="D131" s="315">
        <f t="shared" si="5"/>
        <v>0</v>
      </c>
      <c r="E131" s="315">
        <f t="shared" ca="1" si="6"/>
        <v>0</v>
      </c>
      <c r="F131" s="315">
        <f t="shared" ca="1" si="7"/>
        <v>0</v>
      </c>
      <c r="G131" s="316">
        <f t="shared" ca="1" si="8"/>
        <v>0</v>
      </c>
      <c r="H131" s="231"/>
    </row>
    <row r="132" spans="2:8" x14ac:dyDescent="0.2">
      <c r="B132" s="233">
        <v>110</v>
      </c>
      <c r="C132" s="317">
        <f t="shared" ca="1" si="9"/>
        <v>0</v>
      </c>
      <c r="D132" s="315">
        <f t="shared" si="5"/>
        <v>0</v>
      </c>
      <c r="E132" s="315">
        <f t="shared" ca="1" si="6"/>
        <v>0</v>
      </c>
      <c r="F132" s="315">
        <f t="shared" ca="1" si="7"/>
        <v>0</v>
      </c>
      <c r="G132" s="316">
        <f t="shared" ca="1" si="8"/>
        <v>0</v>
      </c>
      <c r="H132" s="231"/>
    </row>
    <row r="133" spans="2:8" x14ac:dyDescent="0.2">
      <c r="B133" s="233">
        <v>111</v>
      </c>
      <c r="C133" s="317">
        <f t="shared" ca="1" si="9"/>
        <v>0</v>
      </c>
      <c r="D133" s="315">
        <f t="shared" si="5"/>
        <v>0</v>
      </c>
      <c r="E133" s="315">
        <f t="shared" ca="1" si="6"/>
        <v>0</v>
      </c>
      <c r="F133" s="315">
        <f t="shared" ca="1" si="7"/>
        <v>0</v>
      </c>
      <c r="G133" s="316">
        <f t="shared" ca="1" si="8"/>
        <v>0</v>
      </c>
      <c r="H133" s="231"/>
    </row>
    <row r="134" spans="2:8" x14ac:dyDescent="0.2">
      <c r="B134" s="233">
        <v>112</v>
      </c>
      <c r="C134" s="317">
        <f t="shared" ca="1" si="9"/>
        <v>0</v>
      </c>
      <c r="D134" s="315">
        <f t="shared" si="5"/>
        <v>0</v>
      </c>
      <c r="E134" s="315">
        <f t="shared" ca="1" si="6"/>
        <v>0</v>
      </c>
      <c r="F134" s="315">
        <f t="shared" ca="1" si="7"/>
        <v>0</v>
      </c>
      <c r="G134" s="316">
        <f t="shared" ca="1" si="8"/>
        <v>0</v>
      </c>
      <c r="H134" s="231"/>
    </row>
    <row r="135" spans="2:8" x14ac:dyDescent="0.2">
      <c r="B135" s="233">
        <v>113</v>
      </c>
      <c r="C135" s="317">
        <f t="shared" ca="1" si="9"/>
        <v>0</v>
      </c>
      <c r="D135" s="315">
        <f t="shared" si="5"/>
        <v>0</v>
      </c>
      <c r="E135" s="315">
        <f t="shared" ca="1" si="6"/>
        <v>0</v>
      </c>
      <c r="F135" s="315">
        <f t="shared" ca="1" si="7"/>
        <v>0</v>
      </c>
      <c r="G135" s="316">
        <f t="shared" ca="1" si="8"/>
        <v>0</v>
      </c>
      <c r="H135" s="231"/>
    </row>
    <row r="136" spans="2:8" x14ac:dyDescent="0.2">
      <c r="B136" s="233">
        <v>114</v>
      </c>
      <c r="C136" s="317">
        <f t="shared" ca="1" si="9"/>
        <v>0</v>
      </c>
      <c r="D136" s="315">
        <f t="shared" si="5"/>
        <v>0</v>
      </c>
      <c r="E136" s="315">
        <f t="shared" ca="1" si="6"/>
        <v>0</v>
      </c>
      <c r="F136" s="315">
        <f t="shared" ca="1" si="7"/>
        <v>0</v>
      </c>
      <c r="G136" s="316">
        <f t="shared" ca="1" si="8"/>
        <v>0</v>
      </c>
      <c r="H136" s="231"/>
    </row>
    <row r="137" spans="2:8" x14ac:dyDescent="0.2">
      <c r="B137" s="233">
        <v>115</v>
      </c>
      <c r="C137" s="317">
        <f t="shared" ca="1" si="9"/>
        <v>0</v>
      </c>
      <c r="D137" s="315">
        <f t="shared" si="5"/>
        <v>0</v>
      </c>
      <c r="E137" s="315">
        <f t="shared" ca="1" si="6"/>
        <v>0</v>
      </c>
      <c r="F137" s="315">
        <f t="shared" ca="1" si="7"/>
        <v>0</v>
      </c>
      <c r="G137" s="316">
        <f t="shared" ca="1" si="8"/>
        <v>0</v>
      </c>
      <c r="H137" s="231"/>
    </row>
    <row r="138" spans="2:8" x14ac:dyDescent="0.2">
      <c r="B138" s="233">
        <v>116</v>
      </c>
      <c r="C138" s="317">
        <f t="shared" ca="1" si="9"/>
        <v>0</v>
      </c>
      <c r="D138" s="315">
        <f t="shared" si="5"/>
        <v>0</v>
      </c>
      <c r="E138" s="315">
        <f t="shared" ca="1" si="6"/>
        <v>0</v>
      </c>
      <c r="F138" s="315">
        <f t="shared" ca="1" si="7"/>
        <v>0</v>
      </c>
      <c r="G138" s="316">
        <f t="shared" ca="1" si="8"/>
        <v>0</v>
      </c>
      <c r="H138" s="231"/>
    </row>
    <row r="139" spans="2:8" x14ac:dyDescent="0.2">
      <c r="B139" s="233">
        <v>117</v>
      </c>
      <c r="C139" s="317">
        <f t="shared" ca="1" si="9"/>
        <v>0</v>
      </c>
      <c r="D139" s="315">
        <f t="shared" si="5"/>
        <v>0</v>
      </c>
      <c r="E139" s="315">
        <f t="shared" ca="1" si="6"/>
        <v>0</v>
      </c>
      <c r="F139" s="315">
        <f t="shared" ca="1" si="7"/>
        <v>0</v>
      </c>
      <c r="G139" s="316">
        <f t="shared" ca="1" si="8"/>
        <v>0</v>
      </c>
      <c r="H139" s="231"/>
    </row>
    <row r="140" spans="2:8" x14ac:dyDescent="0.2">
      <c r="B140" s="233">
        <v>118</v>
      </c>
      <c r="C140" s="317">
        <f t="shared" ca="1" si="9"/>
        <v>0</v>
      </c>
      <c r="D140" s="315">
        <f t="shared" si="5"/>
        <v>0</v>
      </c>
      <c r="E140" s="315">
        <f t="shared" ca="1" si="6"/>
        <v>0</v>
      </c>
      <c r="F140" s="315">
        <f t="shared" ca="1" si="7"/>
        <v>0</v>
      </c>
      <c r="G140" s="316">
        <f t="shared" ca="1" si="8"/>
        <v>0</v>
      </c>
      <c r="H140" s="231"/>
    </row>
    <row r="141" spans="2:8" x14ac:dyDescent="0.2">
      <c r="B141" s="233">
        <v>119</v>
      </c>
      <c r="C141" s="317">
        <f t="shared" ca="1" si="9"/>
        <v>0</v>
      </c>
      <c r="D141" s="315">
        <f t="shared" si="5"/>
        <v>0</v>
      </c>
      <c r="E141" s="315">
        <f t="shared" ca="1" si="6"/>
        <v>0</v>
      </c>
      <c r="F141" s="315">
        <f t="shared" ca="1" si="7"/>
        <v>0</v>
      </c>
      <c r="G141" s="316">
        <f t="shared" ca="1" si="8"/>
        <v>0</v>
      </c>
      <c r="H141" s="231"/>
    </row>
    <row r="142" spans="2:8" ht="13.5" thickBot="1" x14ac:dyDescent="0.25">
      <c r="B142" s="242">
        <v>120</v>
      </c>
      <c r="C142" s="318">
        <f t="shared" ca="1" si="9"/>
        <v>0</v>
      </c>
      <c r="D142" s="315">
        <f t="shared" si="5"/>
        <v>0</v>
      </c>
      <c r="E142" s="315">
        <f t="shared" ca="1" si="6"/>
        <v>0</v>
      </c>
      <c r="F142" s="315">
        <f t="shared" ca="1" si="7"/>
        <v>0</v>
      </c>
      <c r="G142" s="316">
        <f t="shared" ca="1" si="8"/>
        <v>0</v>
      </c>
      <c r="H142" s="231"/>
    </row>
    <row r="143" spans="2:8" ht="15" thickBot="1" x14ac:dyDescent="0.25">
      <c r="B143" s="226" t="s">
        <v>5</v>
      </c>
      <c r="C143" s="236"/>
      <c r="D143" s="237">
        <f ca="1">SUM(D23:D142)</f>
        <v>271894.55790962087</v>
      </c>
      <c r="E143" s="237">
        <f ca="1">SUM(E23:E142)</f>
        <v>228482.82177303394</v>
      </c>
      <c r="F143" s="237">
        <f ca="1">SUM(F23:F142)</f>
        <v>43411.73613683023</v>
      </c>
      <c r="G143" s="238"/>
    </row>
  </sheetData>
  <sheetProtection algorithmName="SHA-512" hashValue="wnxrprF/Cor74ROxzZ3pChJrlnrb1JflLvnKRaQz7d/9IR+KYP9hwS8nHiTCv+cB5k1LJ1T/7QRbmRb+kEn6aw==" saltValue="qTt6evoCKpVWaF/3M/B6/g==" spinCount="100000" sheet="1" formatCells="0" formatColumns="0" formatRows="0" insertColumns="0" insertRows="0" insertHyperlinks="0" deleteColumns="0" deleteRows="0" sort="0" autoFilter="0" pivotTables="0"/>
  <mergeCells count="7">
    <mergeCell ref="B21:G21"/>
    <mergeCell ref="B2:K2"/>
    <mergeCell ref="B3:K3"/>
    <mergeCell ref="B4:K4"/>
    <mergeCell ref="B5:K5"/>
    <mergeCell ref="B7:C7"/>
    <mergeCell ref="B14:C14"/>
  </mergeCells>
  <dataValidations count="1">
    <dataValidation type="list" allowBlank="1" showInputMessage="1" showErrorMessage="1" sqref="C11">
      <formula1>$M$11:$M$14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2</xdr:col>
                    <xdr:colOff>38100</xdr:colOff>
                    <xdr:row>11</xdr:row>
                    <xdr:rowOff>38100</xdr:rowOff>
                  </from>
                  <to>
                    <xdr:col>2</xdr:col>
                    <xdr:colOff>1038225</xdr:colOff>
                    <xdr:row>11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B2:N28"/>
  <sheetViews>
    <sheetView zoomScale="150" zoomScaleNormal="150" workbookViewId="0">
      <selection activeCell="E19" sqref="E19"/>
    </sheetView>
  </sheetViews>
  <sheetFormatPr defaultColWidth="8.85546875" defaultRowHeight="12.75" x14ac:dyDescent="0.2"/>
  <cols>
    <col min="1" max="1" width="2.85546875" style="136" customWidth="1"/>
    <col min="2" max="2" width="11.28515625" style="136" customWidth="1"/>
    <col min="3" max="3" width="9.85546875" style="136" bestFit="1" customWidth="1"/>
    <col min="4" max="4" width="10.28515625" style="136" bestFit="1" customWidth="1"/>
    <col min="5" max="5" width="8.42578125" style="136" bestFit="1" customWidth="1"/>
    <col min="6" max="14" width="9.85546875" style="136" bestFit="1" customWidth="1"/>
    <col min="15" max="16384" width="8.85546875" style="136"/>
  </cols>
  <sheetData>
    <row r="2" spans="2:14" ht="18.75" x14ac:dyDescent="0.3">
      <c r="B2" s="48" t="s">
        <v>377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x14ac:dyDescent="0.2">
      <c r="B3" s="279" t="s">
        <v>210</v>
      </c>
      <c r="C3" s="249" t="s">
        <v>211</v>
      </c>
      <c r="D3" s="249" t="s">
        <v>168</v>
      </c>
      <c r="E3" s="249" t="s">
        <v>38</v>
      </c>
      <c r="F3" s="249" t="s">
        <v>39</v>
      </c>
      <c r="G3" s="249" t="s">
        <v>40</v>
      </c>
      <c r="H3" s="249" t="s">
        <v>41</v>
      </c>
      <c r="I3" s="249" t="s">
        <v>42</v>
      </c>
      <c r="J3" s="249" t="s">
        <v>43</v>
      </c>
      <c r="K3" s="249" t="s">
        <v>44</v>
      </c>
      <c r="L3" s="249" t="s">
        <v>45</v>
      </c>
      <c r="M3" s="249" t="s">
        <v>46</v>
      </c>
      <c r="N3" s="280" t="s">
        <v>47</v>
      </c>
    </row>
    <row r="4" spans="2:14" x14ac:dyDescent="0.2">
      <c r="B4" s="281">
        <v>0</v>
      </c>
      <c r="C4" s="274"/>
      <c r="D4" s="275">
        <v>0</v>
      </c>
      <c r="E4" s="245">
        <f t="shared" ref="E4:E12" ca="1" si="0">IF(E$22&gt;=$B4, IF(E$22&lt;$B5,E$22*$D4,0),0)</f>
        <v>0</v>
      </c>
      <c r="F4" s="245">
        <f t="shared" ref="F4:F12" ca="1" si="1">IF(F$22&gt;=$B4, IF(F$22&lt;$B5,F$22*$D4,0),0)</f>
        <v>0</v>
      </c>
      <c r="G4" s="245">
        <f t="shared" ref="G4:G12" ca="1" si="2">IF(G$22&gt;=$B4, IF(G$22&lt;$B5,G$22*$D4,0),0)</f>
        <v>0</v>
      </c>
      <c r="H4" s="245">
        <f t="shared" ref="H4:H12" ca="1" si="3">IF(H$22&gt;=$B4, IF(H$22&lt;$B5,H$22*$D4,0),0)</f>
        <v>0</v>
      </c>
      <c r="I4" s="245">
        <f t="shared" ref="I4:I12" ca="1" si="4">IF(I$22&gt;=$B4, IF(I$22&lt;$B5,I$22*$D4,0),0)</f>
        <v>0</v>
      </c>
      <c r="J4" s="245">
        <f t="shared" ref="J4:J12" ca="1" si="5">IF(J$22&gt;=$B4, IF(J$22&lt;$B5,J$22*$D4,0),0)</f>
        <v>0</v>
      </c>
      <c r="K4" s="245">
        <f t="shared" ref="K4:K12" ca="1" si="6">IF(K$22&gt;=$B4, IF(K$22&lt;$B5,K$22*$D4,0),0)</f>
        <v>0</v>
      </c>
      <c r="L4" s="245">
        <f t="shared" ref="L4:L12" ca="1" si="7">IF(L$22&gt;=$B4, IF(L$22&lt;$B5,L$22*$D4,0),0)</f>
        <v>0</v>
      </c>
      <c r="M4" s="245">
        <f t="shared" ref="M4:M12" ca="1" si="8">IF(M$22&gt;=$B4, IF(M$22&lt;$B5,M$22*$D4,0),0)</f>
        <v>0</v>
      </c>
      <c r="N4" s="282">
        <f t="shared" ref="N4:N12" ca="1" si="9">IF(N$22&gt;=$B4, IF(N$22&lt;$B5,N$22*$D4,0),0)</f>
        <v>0</v>
      </c>
    </row>
    <row r="5" spans="2:14" x14ac:dyDescent="0.2">
      <c r="B5" s="281">
        <v>100000</v>
      </c>
      <c r="C5" s="274"/>
      <c r="D5" s="275">
        <v>0</v>
      </c>
      <c r="E5" s="245">
        <f t="shared" ca="1" si="0"/>
        <v>0</v>
      </c>
      <c r="F5" s="245">
        <f t="shared" ca="1" si="1"/>
        <v>0</v>
      </c>
      <c r="G5" s="245">
        <f t="shared" ca="1" si="2"/>
        <v>0</v>
      </c>
      <c r="H5" s="245">
        <f t="shared" ca="1" si="3"/>
        <v>0</v>
      </c>
      <c r="I5" s="245">
        <f t="shared" ca="1" si="4"/>
        <v>0</v>
      </c>
      <c r="J5" s="245">
        <f t="shared" ca="1" si="5"/>
        <v>0</v>
      </c>
      <c r="K5" s="245">
        <f t="shared" ca="1" si="6"/>
        <v>0</v>
      </c>
      <c r="L5" s="245">
        <f t="shared" ca="1" si="7"/>
        <v>0</v>
      </c>
      <c r="M5" s="245">
        <f t="shared" ca="1" si="8"/>
        <v>0</v>
      </c>
      <c r="N5" s="282">
        <f t="shared" ca="1" si="9"/>
        <v>0</v>
      </c>
    </row>
    <row r="6" spans="2:14" x14ac:dyDescent="0.2">
      <c r="B6" s="281">
        <v>110000</v>
      </c>
      <c r="C6" s="274"/>
      <c r="D6" s="275">
        <v>0</v>
      </c>
      <c r="E6" s="245">
        <f t="shared" ca="1" si="0"/>
        <v>0</v>
      </c>
      <c r="F6" s="245">
        <f t="shared" ca="1" si="1"/>
        <v>0</v>
      </c>
      <c r="G6" s="245">
        <f t="shared" ca="1" si="2"/>
        <v>0</v>
      </c>
      <c r="H6" s="245">
        <f t="shared" ca="1" si="3"/>
        <v>0</v>
      </c>
      <c r="I6" s="245">
        <f t="shared" ca="1" si="4"/>
        <v>0</v>
      </c>
      <c r="J6" s="245">
        <f t="shared" ca="1" si="5"/>
        <v>0</v>
      </c>
      <c r="K6" s="245">
        <f t="shared" ca="1" si="6"/>
        <v>0</v>
      </c>
      <c r="L6" s="245">
        <f t="shared" ca="1" si="7"/>
        <v>0</v>
      </c>
      <c r="M6" s="245">
        <f t="shared" ca="1" si="8"/>
        <v>0</v>
      </c>
      <c r="N6" s="282">
        <f t="shared" ca="1" si="9"/>
        <v>0</v>
      </c>
    </row>
    <row r="7" spans="2:14" x14ac:dyDescent="0.2">
      <c r="B7" s="281">
        <v>125000</v>
      </c>
      <c r="C7" s="274"/>
      <c r="D7" s="275">
        <v>0</v>
      </c>
      <c r="E7" s="245">
        <f t="shared" ca="1" si="0"/>
        <v>0</v>
      </c>
      <c r="F7" s="245">
        <f t="shared" ca="1" si="1"/>
        <v>0</v>
      </c>
      <c r="G7" s="245">
        <f t="shared" ca="1" si="2"/>
        <v>0</v>
      </c>
      <c r="H7" s="245">
        <f t="shared" ca="1" si="3"/>
        <v>0</v>
      </c>
      <c r="I7" s="245">
        <f t="shared" ca="1" si="4"/>
        <v>0</v>
      </c>
      <c r="J7" s="245">
        <f t="shared" ca="1" si="5"/>
        <v>0</v>
      </c>
      <c r="K7" s="245">
        <f t="shared" ca="1" si="6"/>
        <v>0</v>
      </c>
      <c r="L7" s="245">
        <f t="shared" ca="1" si="7"/>
        <v>0</v>
      </c>
      <c r="M7" s="245">
        <f t="shared" ca="1" si="8"/>
        <v>0</v>
      </c>
      <c r="N7" s="282">
        <f t="shared" ca="1" si="9"/>
        <v>0</v>
      </c>
    </row>
    <row r="8" spans="2:14" x14ac:dyDescent="0.2">
      <c r="B8" s="281">
        <v>150000</v>
      </c>
      <c r="C8" s="274"/>
      <c r="D8" s="275">
        <v>0</v>
      </c>
      <c r="E8" s="245">
        <f t="shared" ca="1" si="0"/>
        <v>0</v>
      </c>
      <c r="F8" s="245">
        <f t="shared" ca="1" si="1"/>
        <v>0</v>
      </c>
      <c r="G8" s="245">
        <f t="shared" ca="1" si="2"/>
        <v>0</v>
      </c>
      <c r="H8" s="245">
        <f t="shared" ca="1" si="3"/>
        <v>0</v>
      </c>
      <c r="I8" s="245">
        <f t="shared" ca="1" si="4"/>
        <v>0</v>
      </c>
      <c r="J8" s="245">
        <f t="shared" ca="1" si="5"/>
        <v>0</v>
      </c>
      <c r="K8" s="245">
        <f t="shared" ca="1" si="6"/>
        <v>0</v>
      </c>
      <c r="L8" s="245">
        <f t="shared" ca="1" si="7"/>
        <v>0</v>
      </c>
      <c r="M8" s="245">
        <f t="shared" ca="1" si="8"/>
        <v>0</v>
      </c>
      <c r="N8" s="282">
        <f t="shared" ca="1" si="9"/>
        <v>0</v>
      </c>
    </row>
    <row r="9" spans="2:14" x14ac:dyDescent="0.2">
      <c r="B9" s="281">
        <v>175000</v>
      </c>
      <c r="C9" s="274"/>
      <c r="D9" s="275">
        <v>0</v>
      </c>
      <c r="E9" s="245">
        <f t="shared" ca="1" si="0"/>
        <v>0</v>
      </c>
      <c r="F9" s="245">
        <f t="shared" ca="1" si="1"/>
        <v>0</v>
      </c>
      <c r="G9" s="245">
        <f t="shared" ca="1" si="2"/>
        <v>0</v>
      </c>
      <c r="H9" s="245">
        <f t="shared" ca="1" si="3"/>
        <v>0</v>
      </c>
      <c r="I9" s="245">
        <f t="shared" ca="1" si="4"/>
        <v>0</v>
      </c>
      <c r="J9" s="245">
        <f t="shared" ca="1" si="5"/>
        <v>0</v>
      </c>
      <c r="K9" s="245">
        <f t="shared" ca="1" si="6"/>
        <v>0</v>
      </c>
      <c r="L9" s="245">
        <f t="shared" ca="1" si="7"/>
        <v>0</v>
      </c>
      <c r="M9" s="245">
        <f t="shared" ca="1" si="8"/>
        <v>0</v>
      </c>
      <c r="N9" s="282">
        <f t="shared" ca="1" si="9"/>
        <v>0</v>
      </c>
    </row>
    <row r="10" spans="2:14" x14ac:dyDescent="0.2">
      <c r="B10" s="281">
        <v>200000</v>
      </c>
      <c r="C10" s="274"/>
      <c r="D10" s="275">
        <v>0</v>
      </c>
      <c r="E10" s="245">
        <f t="shared" ca="1" si="0"/>
        <v>0</v>
      </c>
      <c r="F10" s="245">
        <f t="shared" ca="1" si="1"/>
        <v>0</v>
      </c>
      <c r="G10" s="245">
        <f t="shared" ca="1" si="2"/>
        <v>0</v>
      </c>
      <c r="H10" s="245">
        <f t="shared" ca="1" si="3"/>
        <v>0</v>
      </c>
      <c r="I10" s="245">
        <f t="shared" ca="1" si="4"/>
        <v>0</v>
      </c>
      <c r="J10" s="245">
        <f t="shared" ca="1" si="5"/>
        <v>0</v>
      </c>
      <c r="K10" s="245">
        <f t="shared" ca="1" si="6"/>
        <v>0</v>
      </c>
      <c r="L10" s="245">
        <f t="shared" ca="1" si="7"/>
        <v>0</v>
      </c>
      <c r="M10" s="245">
        <f t="shared" ca="1" si="8"/>
        <v>0</v>
      </c>
      <c r="N10" s="282">
        <f t="shared" ca="1" si="9"/>
        <v>0</v>
      </c>
    </row>
    <row r="11" spans="2:14" x14ac:dyDescent="0.2">
      <c r="B11" s="281">
        <v>300000</v>
      </c>
      <c r="C11" s="274"/>
      <c r="D11" s="275">
        <v>0</v>
      </c>
      <c r="E11" s="245">
        <f t="shared" ca="1" si="0"/>
        <v>0</v>
      </c>
      <c r="F11" s="245">
        <f t="shared" ca="1" si="1"/>
        <v>0</v>
      </c>
      <c r="G11" s="245">
        <f t="shared" ca="1" si="2"/>
        <v>0</v>
      </c>
      <c r="H11" s="245">
        <f t="shared" ca="1" si="3"/>
        <v>0</v>
      </c>
      <c r="I11" s="245">
        <f t="shared" ca="1" si="4"/>
        <v>0</v>
      </c>
      <c r="J11" s="245">
        <f t="shared" ca="1" si="5"/>
        <v>0</v>
      </c>
      <c r="K11" s="245">
        <f t="shared" ca="1" si="6"/>
        <v>0</v>
      </c>
      <c r="L11" s="245">
        <f t="shared" ca="1" si="7"/>
        <v>0</v>
      </c>
      <c r="M11" s="245">
        <f t="shared" ca="1" si="8"/>
        <v>0</v>
      </c>
      <c r="N11" s="282">
        <f t="shared" ca="1" si="9"/>
        <v>0</v>
      </c>
    </row>
    <row r="12" spans="2:14" x14ac:dyDescent="0.2">
      <c r="B12" s="281">
        <v>600000</v>
      </c>
      <c r="C12" s="274"/>
      <c r="D12" s="275">
        <v>0</v>
      </c>
      <c r="E12" s="245">
        <f t="shared" ca="1" si="0"/>
        <v>0</v>
      </c>
      <c r="F12" s="245">
        <f t="shared" ca="1" si="1"/>
        <v>0</v>
      </c>
      <c r="G12" s="245">
        <f t="shared" ca="1" si="2"/>
        <v>0</v>
      </c>
      <c r="H12" s="245">
        <f t="shared" ca="1" si="3"/>
        <v>0</v>
      </c>
      <c r="I12" s="245">
        <f t="shared" ca="1" si="4"/>
        <v>0</v>
      </c>
      <c r="J12" s="245">
        <f t="shared" ca="1" si="5"/>
        <v>0</v>
      </c>
      <c r="K12" s="245">
        <f t="shared" ca="1" si="6"/>
        <v>0</v>
      </c>
      <c r="L12" s="245">
        <f t="shared" ca="1" si="7"/>
        <v>0</v>
      </c>
      <c r="M12" s="245">
        <f t="shared" ca="1" si="8"/>
        <v>0</v>
      </c>
      <c r="N12" s="282">
        <f t="shared" ca="1" si="9"/>
        <v>0</v>
      </c>
    </row>
    <row r="13" spans="2:14" x14ac:dyDescent="0.2">
      <c r="B13" s="281">
        <v>800001</v>
      </c>
      <c r="C13" s="276">
        <v>0</v>
      </c>
      <c r="D13" s="275">
        <v>0.05</v>
      </c>
      <c r="E13" s="245">
        <f t="shared" ref="E13:N13" ca="1" si="10">IF(E$22&gt;=$B12, IF(E$22&lt;$B13,(E$22-$B$12)*$D13,0),0)</f>
        <v>0</v>
      </c>
      <c r="F13" s="245">
        <f t="shared" ca="1" si="10"/>
        <v>0</v>
      </c>
      <c r="G13" s="245">
        <f t="shared" ca="1" si="10"/>
        <v>0</v>
      </c>
      <c r="H13" s="245">
        <f t="shared" ca="1" si="10"/>
        <v>0</v>
      </c>
      <c r="I13" s="245">
        <f t="shared" ca="1" si="10"/>
        <v>0</v>
      </c>
      <c r="J13" s="245">
        <f t="shared" ca="1" si="10"/>
        <v>0</v>
      </c>
      <c r="K13" s="245">
        <f t="shared" ca="1" si="10"/>
        <v>0</v>
      </c>
      <c r="L13" s="245">
        <f t="shared" ca="1" si="10"/>
        <v>0</v>
      </c>
      <c r="M13" s="245">
        <f t="shared" ca="1" si="10"/>
        <v>0</v>
      </c>
      <c r="N13" s="282">
        <f t="shared" ca="1" si="10"/>
        <v>0</v>
      </c>
    </row>
    <row r="14" spans="2:14" x14ac:dyDescent="0.2">
      <c r="B14" s="281">
        <v>1200001</v>
      </c>
      <c r="C14" s="276">
        <v>10000</v>
      </c>
      <c r="D14" s="275">
        <v>0.125</v>
      </c>
      <c r="E14" s="245">
        <f t="shared" ref="E14:N14" ca="1" si="11">IF(E$22&gt;=$B13, IF(E$22&lt;$B14,($C$14+(E$22-$B$13)*$D14),0),0)</f>
        <v>0</v>
      </c>
      <c r="F14" s="245">
        <f t="shared" ca="1" si="11"/>
        <v>30116.046875</v>
      </c>
      <c r="G14" s="245">
        <f t="shared" ca="1" si="11"/>
        <v>0</v>
      </c>
      <c r="H14" s="245">
        <f t="shared" ca="1" si="11"/>
        <v>0</v>
      </c>
      <c r="I14" s="245">
        <f t="shared" ca="1" si="11"/>
        <v>0</v>
      </c>
      <c r="J14" s="245">
        <f t="shared" ca="1" si="11"/>
        <v>0</v>
      </c>
      <c r="K14" s="245">
        <f t="shared" ca="1" si="11"/>
        <v>0</v>
      </c>
      <c r="L14" s="245">
        <f t="shared" ca="1" si="11"/>
        <v>0</v>
      </c>
      <c r="M14" s="245">
        <f t="shared" ca="1" si="11"/>
        <v>0</v>
      </c>
      <c r="N14" s="282">
        <f t="shared" ca="1" si="11"/>
        <v>0</v>
      </c>
    </row>
    <row r="15" spans="2:14" x14ac:dyDescent="0.2">
      <c r="B15" s="281">
        <v>2400001</v>
      </c>
      <c r="C15" s="276">
        <v>60000</v>
      </c>
      <c r="D15" s="275">
        <v>0.17499999999999999</v>
      </c>
      <c r="E15" s="245">
        <f t="shared" ref="E15:N15" ca="1" si="12">IF(E$22&gt;=$B14, IF(E$22&lt;$B15,($C$15+(E$22-$B$14)*$D15),0),0)</f>
        <v>0</v>
      </c>
      <c r="F15" s="245">
        <f t="shared" ca="1" si="12"/>
        <v>0</v>
      </c>
      <c r="G15" s="245">
        <f t="shared" ca="1" si="12"/>
        <v>136198.24164138344</v>
      </c>
      <c r="H15" s="245">
        <f t="shared" ca="1" si="12"/>
        <v>0</v>
      </c>
      <c r="I15" s="245">
        <f t="shared" ca="1" si="12"/>
        <v>0</v>
      </c>
      <c r="J15" s="245">
        <f t="shared" ca="1" si="12"/>
        <v>0</v>
      </c>
      <c r="K15" s="245">
        <f t="shared" ca="1" si="12"/>
        <v>0</v>
      </c>
      <c r="L15" s="245">
        <f t="shared" ca="1" si="12"/>
        <v>0</v>
      </c>
      <c r="M15" s="245">
        <f t="shared" ca="1" si="12"/>
        <v>0</v>
      </c>
      <c r="N15" s="282">
        <f t="shared" ca="1" si="12"/>
        <v>0</v>
      </c>
    </row>
    <row r="16" spans="2:14" x14ac:dyDescent="0.2">
      <c r="B16" s="281">
        <v>3000001</v>
      </c>
      <c r="C16" s="276">
        <v>270000</v>
      </c>
      <c r="D16" s="275">
        <v>0.22500000000000001</v>
      </c>
      <c r="E16" s="245">
        <f t="shared" ref="E16:N16" ca="1" si="13">IF(E$22&gt;=$B15, IF(E$22&lt;$B16,($C$16+(E$22-$B$15)*$D16),0),0)</f>
        <v>0</v>
      </c>
      <c r="F16" s="245">
        <f t="shared" ca="1" si="13"/>
        <v>0</v>
      </c>
      <c r="G16" s="245">
        <f t="shared" ca="1" si="13"/>
        <v>0</v>
      </c>
      <c r="H16" s="245">
        <f t="shared" ca="1" si="13"/>
        <v>270407.1023437503</v>
      </c>
      <c r="I16" s="245">
        <f t="shared" ca="1" si="13"/>
        <v>0</v>
      </c>
      <c r="J16" s="245">
        <f t="shared" ca="1" si="13"/>
        <v>0</v>
      </c>
      <c r="K16" s="245">
        <f t="shared" ca="1" si="13"/>
        <v>0</v>
      </c>
      <c r="L16" s="245">
        <f t="shared" ca="1" si="13"/>
        <v>0</v>
      </c>
      <c r="M16" s="245">
        <f t="shared" ca="1" si="13"/>
        <v>0</v>
      </c>
      <c r="N16" s="282">
        <f t="shared" ca="1" si="13"/>
        <v>0</v>
      </c>
    </row>
    <row r="17" spans="2:14" x14ac:dyDescent="0.2">
      <c r="B17" s="281">
        <v>4000001</v>
      </c>
      <c r="C17" s="276">
        <v>405000</v>
      </c>
      <c r="D17" s="275">
        <v>0.27500000000000002</v>
      </c>
      <c r="E17" s="245">
        <f t="shared" ref="E17:N17" ca="1" si="14">IF(E$22&gt;=$B16, IF(E$22&lt;$B17,($C$17+(E$22-$B$16)*$D17),0),0)</f>
        <v>0</v>
      </c>
      <c r="F17" s="245">
        <f t="shared" ca="1" si="14"/>
        <v>0</v>
      </c>
      <c r="G17" s="245">
        <f t="shared" ca="1" si="14"/>
        <v>0</v>
      </c>
      <c r="H17" s="245">
        <f t="shared" ca="1" si="14"/>
        <v>0</v>
      </c>
      <c r="I17" s="245">
        <f t="shared" ca="1" si="14"/>
        <v>467400.69773437537</v>
      </c>
      <c r="J17" s="245">
        <f t="shared" ca="1" si="14"/>
        <v>0</v>
      </c>
      <c r="K17" s="245">
        <f t="shared" ca="1" si="14"/>
        <v>0</v>
      </c>
      <c r="L17" s="245">
        <f t="shared" ca="1" si="14"/>
        <v>0</v>
      </c>
      <c r="M17" s="245">
        <f t="shared" ca="1" si="14"/>
        <v>0</v>
      </c>
      <c r="N17" s="282">
        <f t="shared" ca="1" si="14"/>
        <v>0</v>
      </c>
    </row>
    <row r="18" spans="2:14" x14ac:dyDescent="0.2">
      <c r="B18" s="281">
        <v>6000001</v>
      </c>
      <c r="C18" s="276">
        <v>680000</v>
      </c>
      <c r="D18" s="275">
        <v>0.32500000000000001</v>
      </c>
      <c r="E18" s="245">
        <f t="shared" ref="E18:N18" ca="1" si="15">IF(E$22&gt;=$B17, IF(E$22&lt;$B18,($C$18+(E$22-$B$17)*$D18),0),0)</f>
        <v>0</v>
      </c>
      <c r="F18" s="245">
        <f t="shared" ca="1" si="15"/>
        <v>0</v>
      </c>
      <c r="G18" s="245">
        <f t="shared" ca="1" si="15"/>
        <v>0</v>
      </c>
      <c r="H18" s="245">
        <f t="shared" ca="1" si="15"/>
        <v>0</v>
      </c>
      <c r="I18" s="245">
        <f t="shared" ca="1" si="15"/>
        <v>0</v>
      </c>
      <c r="J18" s="245">
        <f t="shared" ca="1" si="15"/>
        <v>754823.24494531285</v>
      </c>
      <c r="K18" s="245">
        <f t="shared" ca="1" si="15"/>
        <v>1109223.635607814</v>
      </c>
      <c r="L18" s="245">
        <f t="shared" ca="1" si="15"/>
        <v>0</v>
      </c>
      <c r="M18" s="245">
        <f t="shared" ca="1" si="15"/>
        <v>0</v>
      </c>
      <c r="N18" s="282">
        <f t="shared" ca="1" si="15"/>
        <v>0</v>
      </c>
    </row>
    <row r="19" spans="2:14" x14ac:dyDescent="0.2">
      <c r="B19" s="283">
        <v>6000002</v>
      </c>
      <c r="C19" s="277">
        <v>1330000</v>
      </c>
      <c r="D19" s="278">
        <v>0.35</v>
      </c>
      <c r="E19" s="284">
        <f t="shared" ref="E19:N19" ca="1" si="16">IF(E$22&gt;=$B19,($C$19+ (E22-$B$19)*$D19),0)</f>
        <v>0</v>
      </c>
      <c r="F19" s="284">
        <f t="shared" ca="1" si="16"/>
        <v>0</v>
      </c>
      <c r="G19" s="284">
        <f t="shared" ca="1" si="16"/>
        <v>0</v>
      </c>
      <c r="H19" s="284">
        <f t="shared" ca="1" si="16"/>
        <v>0</v>
      </c>
      <c r="I19" s="284">
        <f t="shared" ca="1" si="16"/>
        <v>0</v>
      </c>
      <c r="J19" s="284">
        <f t="shared" ca="1" si="16"/>
        <v>0</v>
      </c>
      <c r="K19" s="284">
        <f t="shared" ca="1" si="16"/>
        <v>0</v>
      </c>
      <c r="L19" s="284">
        <f t="shared" ca="1" si="16"/>
        <v>1531220.1497178916</v>
      </c>
      <c r="M19" s="284">
        <f t="shared" ca="1" si="16"/>
        <v>1777185.0689052322</v>
      </c>
      <c r="N19" s="285">
        <f t="shared" ca="1" si="16"/>
        <v>2041565.5674257132</v>
      </c>
    </row>
    <row r="20" spans="2:14" x14ac:dyDescent="0.2">
      <c r="B20" s="244"/>
      <c r="C20" s="244"/>
      <c r="D20" s="246"/>
      <c r="E20" s="244"/>
      <c r="F20" s="244"/>
      <c r="G20" s="244"/>
      <c r="H20" s="244"/>
      <c r="I20" s="244"/>
      <c r="J20" s="244"/>
      <c r="K20" s="244"/>
      <c r="L20" s="244"/>
      <c r="M20" s="244"/>
      <c r="N20" s="244"/>
    </row>
    <row r="21" spans="2:14" x14ac:dyDescent="0.2">
      <c r="B21" s="252" t="s">
        <v>316</v>
      </c>
      <c r="C21" s="249"/>
      <c r="D21" s="249"/>
      <c r="E21" s="249" t="s">
        <v>38</v>
      </c>
      <c r="F21" s="249" t="s">
        <v>39</v>
      </c>
      <c r="G21" s="249" t="s">
        <v>40</v>
      </c>
      <c r="H21" s="249" t="s">
        <v>41</v>
      </c>
      <c r="I21" s="249" t="s">
        <v>42</v>
      </c>
      <c r="J21" s="249" t="s">
        <v>43</v>
      </c>
      <c r="K21" s="249" t="s">
        <v>44</v>
      </c>
      <c r="L21" s="249" t="s">
        <v>45</v>
      </c>
      <c r="M21" s="249" t="s">
        <v>46</v>
      </c>
      <c r="N21" s="249" t="s">
        <v>47</v>
      </c>
    </row>
    <row r="22" spans="2:14" x14ac:dyDescent="0.2">
      <c r="B22" s="244" t="s">
        <v>212</v>
      </c>
      <c r="C22" s="244"/>
      <c r="D22" s="244"/>
      <c r="E22" s="243">
        <f ca="1">Calculations!F106</f>
        <v>296983.26386341307</v>
      </c>
      <c r="F22" s="243">
        <f ca="1">Calculations!G106</f>
        <v>960929.375</v>
      </c>
      <c r="G22" s="243">
        <f ca="1">Calculations!H106</f>
        <v>1635419.5236650482</v>
      </c>
      <c r="H22" s="243">
        <f ca="1">Calculations!I106</f>
        <v>2401810.3437500014</v>
      </c>
      <c r="I22" s="243">
        <f ca="1">Calculations!J106</f>
        <v>3226912.6281250012</v>
      </c>
      <c r="J22" s="243">
        <f ca="1">Calculations!K106</f>
        <v>4230226.369062501</v>
      </c>
      <c r="K22" s="243">
        <f ca="1">Calculations!L106</f>
        <v>5320689.1095625041</v>
      </c>
      <c r="L22" s="243">
        <f ca="1">Calculations!M106</f>
        <v>6574916.7134796903</v>
      </c>
      <c r="M22" s="243">
        <f ca="1">Calculations!N106</f>
        <v>7277673.625443521</v>
      </c>
      <c r="N22" s="243">
        <f ca="1">Calculations!O106</f>
        <v>8033046.4783591805</v>
      </c>
    </row>
    <row r="23" spans="2:14" x14ac:dyDescent="0.2">
      <c r="B23" s="244" t="s">
        <v>209</v>
      </c>
      <c r="C23" s="244"/>
      <c r="D23" s="244"/>
      <c r="E23" s="243">
        <f t="shared" ref="E23:N23" ca="1" si="17">MAX(E4:E19)</f>
        <v>0</v>
      </c>
      <c r="F23" s="243">
        <f t="shared" ca="1" si="17"/>
        <v>30116.046875</v>
      </c>
      <c r="G23" s="243">
        <f t="shared" ca="1" si="17"/>
        <v>136198.24164138344</v>
      </c>
      <c r="H23" s="243">
        <f t="shared" ca="1" si="17"/>
        <v>270407.1023437503</v>
      </c>
      <c r="I23" s="243">
        <f t="shared" ca="1" si="17"/>
        <v>467400.69773437537</v>
      </c>
      <c r="J23" s="243">
        <f t="shared" ca="1" si="17"/>
        <v>754823.24494531285</v>
      </c>
      <c r="K23" s="243">
        <f t="shared" ca="1" si="17"/>
        <v>1109223.635607814</v>
      </c>
      <c r="L23" s="243">
        <f t="shared" ca="1" si="17"/>
        <v>1531220.1497178916</v>
      </c>
      <c r="M23" s="243">
        <f t="shared" ca="1" si="17"/>
        <v>1777185.0689052322</v>
      </c>
      <c r="N23" s="243">
        <f t="shared" ca="1" si="17"/>
        <v>2041565.5674257132</v>
      </c>
    </row>
    <row r="24" spans="2:14" x14ac:dyDescent="0.2">
      <c r="B24" s="141" t="s">
        <v>247</v>
      </c>
      <c r="C24" s="141"/>
      <c r="D24" s="250">
        <f ca="1">AVERAGE($E$23:$N$23)/AVERAGE($E$22:$N$22)</f>
        <v>0.20316373060184287</v>
      </c>
      <c r="E24" s="25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2:14" x14ac:dyDescent="0.2">
      <c r="B25" s="134"/>
      <c r="C25" s="134"/>
      <c r="D25" s="134"/>
      <c r="E25" s="248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2:14" x14ac:dyDescent="0.2">
      <c r="E26" s="247"/>
    </row>
    <row r="28" spans="2:14" x14ac:dyDescent="0.2">
      <c r="F28" s="136" t="s">
        <v>267</v>
      </c>
    </row>
  </sheetData>
  <sheetProtection algorithmName="SHA-512" hashValue="VdIpEzN27gX9YhfOv0sxn2BpQ9+9Ukv657cAplx6OFt57QnhPIL1z35h9ty8ziA36uLpXyPlJbM9pk/SHSzNMQ==" saltValue="7VAryuuuLw+GDvsgSsFnM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Instructions</vt:lpstr>
      <vt:lpstr>Input Sheet</vt:lpstr>
      <vt:lpstr>Financial Analysis</vt:lpstr>
      <vt:lpstr>Calculations</vt:lpstr>
      <vt:lpstr>Depreciation Ammortization</vt:lpstr>
      <vt:lpstr>Project Loan</vt:lpstr>
      <vt:lpstr>WC Loan</vt:lpstr>
      <vt:lpstr>Tax Sheet</vt:lpstr>
      <vt:lpstr>'Financial Analysis'!Print_Area</vt:lpstr>
      <vt:lpstr>'Input Sheet'!Print_Area</vt:lpstr>
    </vt:vector>
  </TitlesOfParts>
  <Company>icon  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mukhter</dc:creator>
  <cp:lastModifiedBy>D70-902</cp:lastModifiedBy>
  <cp:lastPrinted>2022-02-11T06:39:44Z</cp:lastPrinted>
  <dcterms:created xsi:type="dcterms:W3CDTF">2003-01-22T20:08:20Z</dcterms:created>
  <dcterms:modified xsi:type="dcterms:W3CDTF">2022-09-05T08:13:47Z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803413B">
    <vt:lpwstr/>
  </property>
  <property fmtid="{D5CDD505-2E9C-101B-9397-08002B2CF9AE}" pid="3" name="IVID1C471309">
    <vt:lpwstr/>
  </property>
  <property fmtid="{D5CDD505-2E9C-101B-9397-08002B2CF9AE}" pid="4" name="IVIDC0B13E0">
    <vt:lpwstr/>
  </property>
  <property fmtid="{D5CDD505-2E9C-101B-9397-08002B2CF9AE}" pid="5" name="IVID1F460FE2">
    <vt:lpwstr/>
  </property>
  <property fmtid="{D5CDD505-2E9C-101B-9397-08002B2CF9AE}" pid="6" name="IVID14100F09">
    <vt:lpwstr/>
  </property>
  <property fmtid="{D5CDD505-2E9C-101B-9397-08002B2CF9AE}" pid="7" name="IVID2F4B15DD">
    <vt:lpwstr/>
  </property>
  <property fmtid="{D5CDD505-2E9C-101B-9397-08002B2CF9AE}" pid="8" name="IVID3B291CFA">
    <vt:lpwstr/>
  </property>
  <property fmtid="{D5CDD505-2E9C-101B-9397-08002B2CF9AE}" pid="9" name="IVID243B14F9">
    <vt:lpwstr/>
  </property>
  <property fmtid="{D5CDD505-2E9C-101B-9397-08002B2CF9AE}" pid="10" name="IVID1B6210D9">
    <vt:lpwstr/>
  </property>
  <property fmtid="{D5CDD505-2E9C-101B-9397-08002B2CF9AE}" pid="11" name="IVID17D51A69">
    <vt:lpwstr/>
  </property>
  <property fmtid="{D5CDD505-2E9C-101B-9397-08002B2CF9AE}" pid="12" name="IVIDF0074">
    <vt:lpwstr/>
  </property>
  <property fmtid="{D5CDD505-2E9C-101B-9397-08002B2CF9AE}" pid="13" name="IVID1B3817E7">
    <vt:lpwstr/>
  </property>
  <property fmtid="{D5CDD505-2E9C-101B-9397-08002B2CF9AE}" pid="14" name="IVIDB4A78355">
    <vt:lpwstr/>
  </property>
  <property fmtid="{D5CDD505-2E9C-101B-9397-08002B2CF9AE}" pid="15" name="IVID288D4724">
    <vt:lpwstr/>
  </property>
  <property fmtid="{D5CDD505-2E9C-101B-9397-08002B2CF9AE}" pid="16" name="IVID2A5C13EE">
    <vt:lpwstr/>
  </property>
  <property fmtid="{D5CDD505-2E9C-101B-9397-08002B2CF9AE}" pid="17" name="IVIDF5F14ED">
    <vt:lpwstr/>
  </property>
  <property fmtid="{D5CDD505-2E9C-101B-9397-08002B2CF9AE}" pid="18" name="IVID2E7513F5">
    <vt:lpwstr/>
  </property>
  <property fmtid="{D5CDD505-2E9C-101B-9397-08002B2CF9AE}" pid="19" name="IVID1D0E17FF">
    <vt:lpwstr/>
  </property>
  <property fmtid="{D5CDD505-2E9C-101B-9397-08002B2CF9AE}" pid="20" name="IVID8A1D55F8">
    <vt:lpwstr/>
  </property>
  <property fmtid="{D5CDD505-2E9C-101B-9397-08002B2CF9AE}" pid="21" name="IVID8A756C94">
    <vt:lpwstr/>
  </property>
  <property fmtid="{D5CDD505-2E9C-101B-9397-08002B2CF9AE}" pid="22" name="IVID234115DF">
    <vt:lpwstr/>
  </property>
  <property fmtid="{D5CDD505-2E9C-101B-9397-08002B2CF9AE}" pid="23" name="IVID3885BDF5">
    <vt:lpwstr/>
  </property>
  <property fmtid="{D5CDD505-2E9C-101B-9397-08002B2CF9AE}" pid="24" name="IVID3A23A441">
    <vt:lpwstr/>
  </property>
  <property fmtid="{D5CDD505-2E9C-101B-9397-08002B2CF9AE}" pid="25" name="IVID2D6418FF">
    <vt:lpwstr/>
  </property>
  <property fmtid="{D5CDD505-2E9C-101B-9397-08002B2CF9AE}" pid="26" name="IVID21740ADC">
    <vt:lpwstr/>
  </property>
  <property fmtid="{D5CDD505-2E9C-101B-9397-08002B2CF9AE}" pid="27" name="IVID8A610EEE">
    <vt:lpwstr/>
  </property>
  <property fmtid="{D5CDD505-2E9C-101B-9397-08002B2CF9AE}" pid="28" name="IVID376407DF">
    <vt:lpwstr/>
  </property>
  <property fmtid="{D5CDD505-2E9C-101B-9397-08002B2CF9AE}" pid="29" name="IVID171E07C3">
    <vt:lpwstr/>
  </property>
  <property fmtid="{D5CDD505-2E9C-101B-9397-08002B2CF9AE}" pid="30" name="IVID43A08ED">
    <vt:lpwstr/>
  </property>
  <property fmtid="{D5CDD505-2E9C-101B-9397-08002B2CF9AE}" pid="31" name="IVID1CEAF379">
    <vt:lpwstr/>
  </property>
  <property fmtid="{D5CDD505-2E9C-101B-9397-08002B2CF9AE}" pid="32" name="IVID84018F7">
    <vt:lpwstr/>
  </property>
  <property fmtid="{D5CDD505-2E9C-101B-9397-08002B2CF9AE}" pid="33" name="IVID42B08D0">
    <vt:lpwstr/>
  </property>
  <property fmtid="{D5CDD505-2E9C-101B-9397-08002B2CF9AE}" pid="34" name="IVID34261933">
    <vt:lpwstr/>
  </property>
  <property fmtid="{D5CDD505-2E9C-101B-9397-08002B2CF9AE}" pid="35" name="IVIDB4735E7F">
    <vt:lpwstr/>
  </property>
  <property fmtid="{D5CDD505-2E9C-101B-9397-08002B2CF9AE}" pid="36" name="IVID213B1603">
    <vt:lpwstr/>
  </property>
  <property fmtid="{D5CDD505-2E9C-101B-9397-08002B2CF9AE}" pid="37" name="IVID336515F5">
    <vt:lpwstr/>
  </property>
  <property fmtid="{D5CDD505-2E9C-101B-9397-08002B2CF9AE}" pid="38" name="IVID289BA4FC">
    <vt:lpwstr/>
  </property>
  <property fmtid="{D5CDD505-2E9C-101B-9397-08002B2CF9AE}" pid="39" name="IVID58AE992">
    <vt:lpwstr/>
  </property>
  <property fmtid="{D5CDD505-2E9C-101B-9397-08002B2CF9AE}" pid="40" name="IVID3F4617E5">
    <vt:lpwstr/>
  </property>
  <property fmtid="{D5CDD505-2E9C-101B-9397-08002B2CF9AE}" pid="41" name="IVID29371B45">
    <vt:lpwstr/>
  </property>
  <property fmtid="{D5CDD505-2E9C-101B-9397-08002B2CF9AE}" pid="42" name="IVIDB0D80F2B">
    <vt:lpwstr/>
  </property>
  <property fmtid="{D5CDD505-2E9C-101B-9397-08002B2CF9AE}" pid="43" name="IVID38DA421F">
    <vt:lpwstr/>
  </property>
  <property fmtid="{D5CDD505-2E9C-101B-9397-08002B2CF9AE}" pid="44" name="IVID1A5F07E4">
    <vt:lpwstr/>
  </property>
  <property fmtid="{D5CDD505-2E9C-101B-9397-08002B2CF9AE}" pid="45" name="IVID1B2619F4">
    <vt:lpwstr/>
  </property>
  <property fmtid="{D5CDD505-2E9C-101B-9397-08002B2CF9AE}" pid="46" name="IVID2E7107E7">
    <vt:lpwstr/>
  </property>
</Properties>
</file>